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Water Resources\MWD_LRP_Syphon_Res_Improvement_Project\LRP_Spreadsheet_Analysis\"/>
    </mc:Choice>
  </mc:AlternateContent>
  <xr:revisionPtr revIDLastSave="0" documentId="13_ncr:1_{107CD3C3-62A7-43AD-B2E9-78584F62975F}" xr6:coauthVersionLast="47" xr6:coauthVersionMax="47" xr10:uidLastSave="{00000000-0000-0000-0000-000000000000}"/>
  <bookViews>
    <workbookView xWindow="-120" yWindow="-120" windowWidth="38640" windowHeight="21240" tabRatio="646" activeTab="2" xr2:uid="{00000000-000D-0000-FFFF-FFFF00000000}"/>
  </bookViews>
  <sheets>
    <sheet name="Summary" sheetId="4" r:id="rId1"/>
    <sheet name="$340 over 25 yrs" sheetId="1" r:id="rId2"/>
    <sheet name="$475 over 15 yrs" sheetId="2" r:id="rId3"/>
    <sheet name="$305 fix over 25 yrs" sheetId="6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5" i="6" l="1"/>
  <c r="G45" i="6"/>
  <c r="H44" i="6"/>
  <c r="G44" i="6"/>
  <c r="D44" i="6"/>
  <c r="C44" i="6"/>
  <c r="A44" i="6"/>
  <c r="B44" i="6"/>
  <c r="C46" i="1"/>
  <c r="G44" i="1"/>
  <c r="B44" i="1"/>
  <c r="A44" i="1"/>
  <c r="C44" i="1" s="1"/>
  <c r="E44" i="4"/>
  <c r="D44" i="4"/>
  <c r="B44" i="4" a="1"/>
  <c r="B44" i="4" s="1"/>
  <c r="C44" i="4"/>
  <c r="D22" i="4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21" i="4"/>
  <c r="B15" i="1"/>
  <c r="B15" i="4" a="1"/>
  <c r="B15" i="4" s="1"/>
  <c r="F15" i="4"/>
  <c r="F8" i="4" l="1"/>
  <c r="A10" i="6"/>
  <c r="B10" i="6"/>
  <c r="E10" i="6"/>
  <c r="C41" i="2"/>
  <c r="C42" i="2"/>
  <c r="C43" i="2"/>
  <c r="C41" i="6"/>
  <c r="C42" i="6"/>
  <c r="C43" i="6"/>
  <c r="A10" i="2"/>
  <c r="B10" i="2"/>
  <c r="E10" i="2"/>
  <c r="E40" i="4"/>
  <c r="E41" i="4" s="1"/>
  <c r="E42" i="4" l="1"/>
  <c r="D41" i="6"/>
  <c r="G41" i="2"/>
  <c r="A10" i="1"/>
  <c r="B10" i="1"/>
  <c r="E10" i="1"/>
  <c r="G41" i="1"/>
  <c r="G42" i="1"/>
  <c r="G40" i="1"/>
  <c r="C39" i="6"/>
  <c r="D39" i="6"/>
  <c r="C40" i="6"/>
  <c r="D40" i="6"/>
  <c r="C39" i="2"/>
  <c r="G39" i="2"/>
  <c r="C40" i="2"/>
  <c r="G40" i="2"/>
  <c r="G39" i="1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E43" i="4" l="1"/>
  <c r="D42" i="6"/>
  <c r="G42" i="2"/>
  <c r="E5" i="6"/>
  <c r="D43" i="6" l="1"/>
  <c r="G43" i="2"/>
  <c r="G43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E4" i="2" l="1"/>
  <c r="E3" i="2"/>
  <c r="E9" i="6" l="1"/>
  <c r="B9" i="6"/>
  <c r="E8" i="6"/>
  <c r="B8" i="6"/>
  <c r="B7" i="6"/>
  <c r="B6" i="6"/>
  <c r="B5" i="6"/>
  <c r="E4" i="6"/>
  <c r="B4" i="6"/>
  <c r="E3" i="6"/>
  <c r="B3" i="6"/>
  <c r="A3" i="6"/>
  <c r="A2" i="6"/>
  <c r="C38" i="6" l="1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A15" i="6"/>
  <c r="I15" i="6" l="1"/>
  <c r="J15" i="6" s="1"/>
  <c r="K15" i="6" s="1"/>
  <c r="L15" i="6" s="1"/>
  <c r="G15" i="6"/>
  <c r="H15" i="6" s="1"/>
  <c r="A15" i="2"/>
  <c r="D15" i="2" s="1"/>
  <c r="A15" i="1"/>
  <c r="C29" i="2"/>
  <c r="C21" i="2"/>
  <c r="C19" i="2"/>
  <c r="C18" i="2"/>
  <c r="C17" i="2"/>
  <c r="C16" i="2"/>
  <c r="C15" i="2"/>
  <c r="B15" i="6"/>
  <c r="D15" i="1" l="1"/>
  <c r="E15" i="1"/>
  <c r="C15" i="1"/>
  <c r="H15" i="1"/>
  <c r="I15" i="1" s="1"/>
  <c r="J15" i="1" s="1"/>
  <c r="E15" i="2"/>
  <c r="H15" i="2"/>
  <c r="I15" i="2" s="1"/>
  <c r="C16" i="4"/>
  <c r="B15" i="2"/>
  <c r="C25" i="2"/>
  <c r="C26" i="2"/>
  <c r="C27" i="2"/>
  <c r="C22" i="2"/>
  <c r="C30" i="2"/>
  <c r="C31" i="2"/>
  <c r="C23" i="2"/>
  <c r="C33" i="2"/>
  <c r="C20" i="2"/>
  <c r="C24" i="2"/>
  <c r="C28" i="2"/>
  <c r="C32" i="2"/>
  <c r="B9" i="2"/>
  <c r="B8" i="2"/>
  <c r="B7" i="2"/>
  <c r="B6" i="2"/>
  <c r="B5" i="2"/>
  <c r="B4" i="2"/>
  <c r="B3" i="2"/>
  <c r="A3" i="2"/>
  <c r="A2" i="2"/>
  <c r="B9" i="1"/>
  <c r="B8" i="1"/>
  <c r="B7" i="1"/>
  <c r="B6" i="1"/>
  <c r="B5" i="1"/>
  <c r="B4" i="1"/>
  <c r="B3" i="1"/>
  <c r="A3" i="1"/>
  <c r="A2" i="1"/>
  <c r="E3" i="1"/>
  <c r="E4" i="1"/>
  <c r="E5" i="1"/>
  <c r="E8" i="1"/>
  <c r="E44" i="1" s="1"/>
  <c r="E9" i="1"/>
  <c r="E5" i="2"/>
  <c r="E8" i="2"/>
  <c r="E9" i="2"/>
  <c r="E7" i="6"/>
  <c r="B5" i="4"/>
  <c r="B16" i="6" l="1"/>
  <c r="B16" i="1"/>
  <c r="F16" i="4"/>
  <c r="B16" i="4" a="1"/>
  <c r="B16" i="4" s="1"/>
  <c r="J15" i="2"/>
  <c r="B6" i="4"/>
  <c r="A5" i="1" s="1"/>
  <c r="A4" i="6"/>
  <c r="C17" i="4"/>
  <c r="B16" i="2"/>
  <c r="C34" i="2"/>
  <c r="E7" i="1"/>
  <c r="D44" i="1" s="1"/>
  <c r="F44" i="1" s="1"/>
  <c r="H44" i="1" s="1"/>
  <c r="I44" i="1" s="1"/>
  <c r="E7" i="2"/>
  <c r="A4" i="2"/>
  <c r="A4" i="1"/>
  <c r="J44" i="1" l="1"/>
  <c r="F44" i="6" s="1"/>
  <c r="E44" i="6"/>
  <c r="B17" i="4" a="1"/>
  <c r="B17" i="4" s="1"/>
  <c r="A16" i="6"/>
  <c r="G16" i="6" s="1"/>
  <c r="H16" i="6" s="1"/>
  <c r="A16" i="1"/>
  <c r="A16" i="2"/>
  <c r="B17" i="6"/>
  <c r="B17" i="1"/>
  <c r="F17" i="4"/>
  <c r="F15" i="1"/>
  <c r="F15" i="2"/>
  <c r="B7" i="4"/>
  <c r="A5" i="6"/>
  <c r="A5" i="2"/>
  <c r="C18" i="4"/>
  <c r="B17" i="2"/>
  <c r="C35" i="2"/>
  <c r="B18" i="6" l="1"/>
  <c r="F18" i="4"/>
  <c r="B18" i="1"/>
  <c r="D16" i="2"/>
  <c r="E16" i="2"/>
  <c r="D16" i="1"/>
  <c r="C16" i="1"/>
  <c r="E16" i="1"/>
  <c r="B18" i="4" a="1"/>
  <c r="B18" i="4" s="1"/>
  <c r="A17" i="6"/>
  <c r="G17" i="6" s="1"/>
  <c r="H17" i="6" s="1"/>
  <c r="A17" i="1"/>
  <c r="A17" i="2"/>
  <c r="B8" i="4"/>
  <c r="A6" i="6"/>
  <c r="A6" i="2"/>
  <c r="A6" i="1"/>
  <c r="C19" i="4"/>
  <c r="B18" i="2"/>
  <c r="C36" i="2"/>
  <c r="F16" i="2" l="1"/>
  <c r="H16" i="2" s="1"/>
  <c r="I16" i="2" s="1"/>
  <c r="J16" i="2" s="1"/>
  <c r="E17" i="1"/>
  <c r="D17" i="1"/>
  <c r="C17" i="1"/>
  <c r="B19" i="6"/>
  <c r="F19" i="4"/>
  <c r="B19" i="1"/>
  <c r="E17" i="2"/>
  <c r="D17" i="2"/>
  <c r="B19" i="4" a="1"/>
  <c r="B19" i="4" s="1"/>
  <c r="A18" i="6"/>
  <c r="G18" i="6" s="1"/>
  <c r="H18" i="6" s="1"/>
  <c r="A18" i="2"/>
  <c r="A18" i="1"/>
  <c r="F16" i="1"/>
  <c r="H16" i="1" s="1"/>
  <c r="I16" i="1" s="1"/>
  <c r="J16" i="1" s="1"/>
  <c r="B9" i="4"/>
  <c r="A7" i="6"/>
  <c r="A7" i="1"/>
  <c r="A7" i="2"/>
  <c r="C20" i="4"/>
  <c r="B19" i="2"/>
  <c r="C37" i="2"/>
  <c r="E18" i="2" l="1"/>
  <c r="D18" i="2"/>
  <c r="B20" i="6"/>
  <c r="F20" i="4"/>
  <c r="B20" i="1"/>
  <c r="D18" i="1"/>
  <c r="C18" i="1"/>
  <c r="E18" i="1"/>
  <c r="B20" i="4" a="1"/>
  <c r="B20" i="4" s="1"/>
  <c r="A19" i="6"/>
  <c r="G19" i="6" s="1"/>
  <c r="H19" i="6" s="1"/>
  <c r="A19" i="1"/>
  <c r="A19" i="2"/>
  <c r="F17" i="1"/>
  <c r="H17" i="1" s="1"/>
  <c r="I17" i="1" s="1"/>
  <c r="J17" i="1" s="1"/>
  <c r="F17" i="2"/>
  <c r="H17" i="2" s="1"/>
  <c r="I17" i="2" s="1"/>
  <c r="J17" i="2" s="1"/>
  <c r="B10" i="4"/>
  <c r="A8" i="6"/>
  <c r="A8" i="2"/>
  <c r="A8" i="1"/>
  <c r="C21" i="4"/>
  <c r="B20" i="2"/>
  <c r="C38" i="2"/>
  <c r="F18" i="2" l="1"/>
  <c r="H18" i="2" s="1"/>
  <c r="F18" i="1"/>
  <c r="H18" i="1" s="1"/>
  <c r="I18" i="1" s="1"/>
  <c r="J18" i="1" s="1"/>
  <c r="B21" i="6"/>
  <c r="F21" i="4"/>
  <c r="B21" i="1"/>
  <c r="E19" i="2"/>
  <c r="D19" i="2"/>
  <c r="C19" i="1"/>
  <c r="E19" i="1"/>
  <c r="D19" i="1"/>
  <c r="B21" i="4" a="1"/>
  <c r="B21" i="4" s="1"/>
  <c r="A20" i="6"/>
  <c r="G20" i="6" s="1"/>
  <c r="H20" i="6" s="1"/>
  <c r="A20" i="1"/>
  <c r="A20" i="2"/>
  <c r="I18" i="2"/>
  <c r="J18" i="2" s="1"/>
  <c r="A9" i="2"/>
  <c r="A9" i="6"/>
  <c r="A9" i="1"/>
  <c r="C22" i="4"/>
  <c r="B21" i="2"/>
  <c r="B22" i="6" l="1"/>
  <c r="F22" i="4"/>
  <c r="B22" i="1"/>
  <c r="C20" i="1"/>
  <c r="D20" i="1"/>
  <c r="E20" i="1"/>
  <c r="B22" i="4" a="1"/>
  <c r="B22" i="4" s="1"/>
  <c r="A21" i="6"/>
  <c r="G21" i="6" s="1"/>
  <c r="H21" i="6" s="1"/>
  <c r="A21" i="2"/>
  <c r="A21" i="1"/>
  <c r="F19" i="2"/>
  <c r="H19" i="2" s="1"/>
  <c r="I19" i="2" s="1"/>
  <c r="J19" i="2" s="1"/>
  <c r="E20" i="2"/>
  <c r="D20" i="2"/>
  <c r="F19" i="1"/>
  <c r="H19" i="1" s="1"/>
  <c r="I19" i="1" s="1"/>
  <c r="J19" i="1" s="1"/>
  <c r="C23" i="4"/>
  <c r="B22" i="2"/>
  <c r="F20" i="2" l="1"/>
  <c r="H20" i="2" s="1"/>
  <c r="I20" i="2" s="1"/>
  <c r="J20" i="2" s="1"/>
  <c r="F20" i="1"/>
  <c r="H20" i="1" s="1"/>
  <c r="I20" i="1" s="1"/>
  <c r="B23" i="4" a="1"/>
  <c r="B23" i="4" s="1"/>
  <c r="A22" i="6"/>
  <c r="G22" i="6" s="1"/>
  <c r="H22" i="6" s="1"/>
  <c r="A22" i="2"/>
  <c r="A22" i="1"/>
  <c r="B23" i="6"/>
  <c r="B23" i="1"/>
  <c r="F23" i="4"/>
  <c r="C21" i="1"/>
  <c r="D21" i="1"/>
  <c r="E21" i="1"/>
  <c r="D21" i="2"/>
  <c r="E21" i="2"/>
  <c r="C24" i="4"/>
  <c r="B23" i="2"/>
  <c r="J20" i="1" l="1"/>
  <c r="E22" i="1"/>
  <c r="C22" i="1"/>
  <c r="D22" i="1"/>
  <c r="F21" i="2"/>
  <c r="H21" i="2" s="1"/>
  <c r="I21" i="2" s="1"/>
  <c r="D22" i="2"/>
  <c r="E22" i="2"/>
  <c r="F22" i="2" s="1"/>
  <c r="H22" i="2" s="1"/>
  <c r="I22" i="2" s="1"/>
  <c r="J22" i="2" s="1"/>
  <c r="B24" i="6"/>
  <c r="B24" i="1"/>
  <c r="F24" i="4"/>
  <c r="F21" i="1"/>
  <c r="H21" i="1" s="1"/>
  <c r="I21" i="1" s="1"/>
  <c r="J21" i="1" s="1"/>
  <c r="B24" i="4" a="1"/>
  <c r="B24" i="4" s="1"/>
  <c r="A23" i="6"/>
  <c r="G23" i="6" s="1"/>
  <c r="H23" i="6" s="1"/>
  <c r="A23" i="2"/>
  <c r="A23" i="1"/>
  <c r="C25" i="4"/>
  <c r="B24" i="2"/>
  <c r="B25" i="4" l="1" a="1"/>
  <c r="B25" i="4" s="1"/>
  <c r="A24" i="6"/>
  <c r="G24" i="6" s="1"/>
  <c r="H24" i="6" s="1"/>
  <c r="A24" i="2"/>
  <c r="A24" i="1"/>
  <c r="F22" i="1"/>
  <c r="H22" i="1" s="1"/>
  <c r="I22" i="1" s="1"/>
  <c r="E23" i="1"/>
  <c r="C23" i="1"/>
  <c r="D23" i="1"/>
  <c r="B25" i="6"/>
  <c r="B25" i="1"/>
  <c r="F25" i="4"/>
  <c r="D23" i="2"/>
  <c r="E23" i="2"/>
  <c r="J21" i="2"/>
  <c r="C26" i="4"/>
  <c r="B25" i="2"/>
  <c r="J22" i="1" l="1"/>
  <c r="B26" i="6"/>
  <c r="F26" i="4"/>
  <c r="B26" i="1"/>
  <c r="F23" i="1"/>
  <c r="H23" i="1" s="1"/>
  <c r="I23" i="1" s="1"/>
  <c r="J23" i="1" s="1"/>
  <c r="F23" i="2"/>
  <c r="H23" i="2" s="1"/>
  <c r="I23" i="2" s="1"/>
  <c r="J23" i="2" s="1"/>
  <c r="C24" i="1"/>
  <c r="E24" i="1"/>
  <c r="D24" i="1"/>
  <c r="E24" i="2"/>
  <c r="D24" i="2"/>
  <c r="B26" i="4" a="1"/>
  <c r="B26" i="4" s="1"/>
  <c r="A25" i="6"/>
  <c r="G25" i="6" s="1"/>
  <c r="H25" i="6" s="1"/>
  <c r="A25" i="1"/>
  <c r="A25" i="2"/>
  <c r="C27" i="4"/>
  <c r="B26" i="2"/>
  <c r="F24" i="1" l="1"/>
  <c r="H24" i="1" s="1"/>
  <c r="I24" i="1" s="1"/>
  <c r="E25" i="2"/>
  <c r="D25" i="2"/>
  <c r="E25" i="1"/>
  <c r="D25" i="1"/>
  <c r="C25" i="1"/>
  <c r="B27" i="4" a="1"/>
  <c r="B27" i="4" s="1"/>
  <c r="A26" i="6"/>
  <c r="G26" i="6" s="1"/>
  <c r="H26" i="6" s="1"/>
  <c r="A26" i="2"/>
  <c r="A26" i="1"/>
  <c r="F24" i="2"/>
  <c r="H24" i="2" s="1"/>
  <c r="I24" i="2" s="1"/>
  <c r="J24" i="2" s="1"/>
  <c r="B27" i="6"/>
  <c r="B27" i="1"/>
  <c r="F27" i="4"/>
  <c r="C28" i="4"/>
  <c r="B27" i="2"/>
  <c r="F25" i="2" l="1"/>
  <c r="H25" i="2" s="1"/>
  <c r="I25" i="2" s="1"/>
  <c r="J25" i="2" s="1"/>
  <c r="J24" i="1"/>
  <c r="F25" i="1"/>
  <c r="H25" i="1" s="1"/>
  <c r="I25" i="1" s="1"/>
  <c r="J25" i="1" s="1"/>
  <c r="B28" i="4" a="1"/>
  <c r="B28" i="4" s="1"/>
  <c r="A27" i="6"/>
  <c r="G27" i="6" s="1"/>
  <c r="H27" i="6" s="1"/>
  <c r="A27" i="2"/>
  <c r="A27" i="1"/>
  <c r="B28" i="6"/>
  <c r="F28" i="4"/>
  <c r="B28" i="1"/>
  <c r="E26" i="2"/>
  <c r="D26" i="2"/>
  <c r="C26" i="1"/>
  <c r="D26" i="1"/>
  <c r="E26" i="1"/>
  <c r="C29" i="4"/>
  <c r="B28" i="2"/>
  <c r="F26" i="2" l="1"/>
  <c r="H26" i="2" s="1"/>
  <c r="I26" i="2" s="1"/>
  <c r="J26" i="2" s="1"/>
  <c r="E27" i="2"/>
  <c r="D27" i="2"/>
  <c r="E27" i="1"/>
  <c r="D27" i="1"/>
  <c r="C27" i="1"/>
  <c r="F26" i="1"/>
  <c r="H26" i="1" s="1"/>
  <c r="I26" i="1" s="1"/>
  <c r="B29" i="4" a="1"/>
  <c r="B29" i="4" s="1"/>
  <c r="A28" i="6"/>
  <c r="G28" i="6" s="1"/>
  <c r="H28" i="6" s="1"/>
  <c r="A28" i="2"/>
  <c r="A28" i="1"/>
  <c r="B29" i="6"/>
  <c r="F29" i="4"/>
  <c r="B29" i="1"/>
  <c r="C30" i="4"/>
  <c r="B29" i="2"/>
  <c r="J26" i="1" l="1"/>
  <c r="F27" i="2"/>
  <c r="H27" i="2" s="1"/>
  <c r="I27" i="2" s="1"/>
  <c r="J27" i="2" s="1"/>
  <c r="B30" i="4" a="1"/>
  <c r="B30" i="4" s="1"/>
  <c r="A29" i="6"/>
  <c r="G29" i="6" s="1"/>
  <c r="H29" i="6" s="1"/>
  <c r="A29" i="2"/>
  <c r="A29" i="1"/>
  <c r="F27" i="1"/>
  <c r="H27" i="1" s="1"/>
  <c r="I27" i="1" s="1"/>
  <c r="J27" i="1" s="1"/>
  <c r="B30" i="6"/>
  <c r="F30" i="4"/>
  <c r="B30" i="1"/>
  <c r="E28" i="1"/>
  <c r="C28" i="1"/>
  <c r="D28" i="1"/>
  <c r="E28" i="2"/>
  <c r="D28" i="2"/>
  <c r="F28" i="2" s="1"/>
  <c r="H28" i="2" s="1"/>
  <c r="I28" i="2" s="1"/>
  <c r="J28" i="2" s="1"/>
  <c r="C31" i="4"/>
  <c r="B30" i="2"/>
  <c r="F28" i="1" l="1"/>
  <c r="H28" i="1" s="1"/>
  <c r="I28" i="1" s="1"/>
  <c r="J28" i="1" s="1"/>
  <c r="E29" i="1"/>
  <c r="C29" i="1"/>
  <c r="D29" i="1"/>
  <c r="E29" i="2"/>
  <c r="D29" i="2"/>
  <c r="F29" i="2" s="1"/>
  <c r="H29" i="2" s="1"/>
  <c r="I29" i="2" s="1"/>
  <c r="J29" i="2" s="1"/>
  <c r="B31" i="6"/>
  <c r="B31" i="1"/>
  <c r="F31" i="4"/>
  <c r="B31" i="4" a="1"/>
  <c r="B31" i="4" s="1"/>
  <c r="A30" i="6"/>
  <c r="G30" i="6" s="1"/>
  <c r="H30" i="6" s="1"/>
  <c r="A30" i="1"/>
  <c r="A30" i="2"/>
  <c r="C32" i="4"/>
  <c r="B31" i="2"/>
  <c r="F29" i="1" l="1"/>
  <c r="H29" i="1" s="1"/>
  <c r="I29" i="1" s="1"/>
  <c r="J29" i="1" s="1"/>
  <c r="E30" i="2"/>
  <c r="D30" i="2"/>
  <c r="F30" i="2" s="1"/>
  <c r="H30" i="2" s="1"/>
  <c r="I30" i="2" s="1"/>
  <c r="J30" i="2" s="1"/>
  <c r="E30" i="1"/>
  <c r="C30" i="1"/>
  <c r="D30" i="1"/>
  <c r="B32" i="6"/>
  <c r="B32" i="1"/>
  <c r="F32" i="4"/>
  <c r="B32" i="4" a="1"/>
  <c r="B32" i="4" s="1"/>
  <c r="A31" i="6"/>
  <c r="G31" i="6" s="1"/>
  <c r="H31" i="6" s="1"/>
  <c r="A31" i="2"/>
  <c r="A31" i="1"/>
  <c r="C33" i="4"/>
  <c r="B32" i="2"/>
  <c r="F30" i="1" l="1"/>
  <c r="H30" i="1" s="1"/>
  <c r="I30" i="1" s="1"/>
  <c r="J30" i="1" s="1"/>
  <c r="D31" i="1"/>
  <c r="E31" i="1"/>
  <c r="C31" i="1"/>
  <c r="B33" i="4" a="1"/>
  <c r="B33" i="4" s="1"/>
  <c r="A32" i="6"/>
  <c r="G32" i="6" s="1"/>
  <c r="H32" i="6" s="1"/>
  <c r="A32" i="2"/>
  <c r="A32" i="1"/>
  <c r="B33" i="6"/>
  <c r="B33" i="1"/>
  <c r="F33" i="4"/>
  <c r="D31" i="2"/>
  <c r="E31" i="2"/>
  <c r="C34" i="4"/>
  <c r="B33" i="2"/>
  <c r="E32" i="1" l="1"/>
  <c r="D32" i="1"/>
  <c r="C32" i="1"/>
  <c r="B34" i="4" a="1"/>
  <c r="B34" i="4" s="1"/>
  <c r="A33" i="6"/>
  <c r="G33" i="6" s="1"/>
  <c r="H33" i="6" s="1"/>
  <c r="A33" i="2"/>
  <c r="A33" i="1"/>
  <c r="F31" i="2"/>
  <c r="H31" i="2" s="1"/>
  <c r="I31" i="2" s="1"/>
  <c r="J31" i="2" s="1"/>
  <c r="D32" i="2"/>
  <c r="E32" i="2"/>
  <c r="B34" i="6"/>
  <c r="F34" i="4"/>
  <c r="B34" i="1"/>
  <c r="F31" i="1"/>
  <c r="H31" i="1" s="1"/>
  <c r="I31" i="1" s="1"/>
  <c r="J31" i="1" s="1"/>
  <c r="C35" i="4"/>
  <c r="B34" i="2"/>
  <c r="D33" i="2" l="1"/>
  <c r="E33" i="2"/>
  <c r="B35" i="4" a="1"/>
  <c r="B35" i="4" s="1"/>
  <c r="A34" i="6"/>
  <c r="G34" i="6" s="1"/>
  <c r="H34" i="6" s="1"/>
  <c r="A34" i="2"/>
  <c r="A34" i="1"/>
  <c r="E33" i="1"/>
  <c r="D33" i="1"/>
  <c r="C33" i="1"/>
  <c r="F32" i="1"/>
  <c r="H32" i="1" s="1"/>
  <c r="I32" i="1" s="1"/>
  <c r="J32" i="1" s="1"/>
  <c r="B35" i="6"/>
  <c r="F35" i="4"/>
  <c r="B35" i="1"/>
  <c r="F32" i="2"/>
  <c r="H32" i="2" s="1"/>
  <c r="I32" i="2" s="1"/>
  <c r="J32" i="2" s="1"/>
  <c r="C36" i="4"/>
  <c r="B35" i="2"/>
  <c r="F33" i="1" l="1"/>
  <c r="H33" i="1" s="1"/>
  <c r="I33" i="1" s="1"/>
  <c r="J33" i="1" s="1"/>
  <c r="F33" i="2"/>
  <c r="H33" i="2" s="1"/>
  <c r="I33" i="2" s="1"/>
  <c r="J33" i="2" s="1"/>
  <c r="C34" i="1"/>
  <c r="D34" i="1"/>
  <c r="E34" i="1"/>
  <c r="D34" i="2"/>
  <c r="E34" i="2"/>
  <c r="B36" i="4" a="1"/>
  <c r="B36" i="4" s="1"/>
  <c r="A35" i="6"/>
  <c r="G35" i="6" s="1"/>
  <c r="H35" i="6" s="1"/>
  <c r="A35" i="2"/>
  <c r="A35" i="1"/>
  <c r="B36" i="6"/>
  <c r="B36" i="1"/>
  <c r="F36" i="4"/>
  <c r="C37" i="4"/>
  <c r="B36" i="2"/>
  <c r="D35" i="2" l="1"/>
  <c r="E35" i="2"/>
  <c r="B37" i="6"/>
  <c r="B37" i="1"/>
  <c r="F37" i="4"/>
  <c r="F34" i="2"/>
  <c r="H34" i="2" s="1"/>
  <c r="I34" i="2" s="1"/>
  <c r="J34" i="2" s="1"/>
  <c r="F34" i="1"/>
  <c r="H34" i="1" s="1"/>
  <c r="I34" i="1" s="1"/>
  <c r="J34" i="1" s="1"/>
  <c r="B37" i="4" a="1"/>
  <c r="B37" i="4" s="1"/>
  <c r="A36" i="6"/>
  <c r="G36" i="6" s="1"/>
  <c r="H36" i="6" s="1"/>
  <c r="A36" i="1"/>
  <c r="A36" i="2"/>
  <c r="C35" i="1"/>
  <c r="E35" i="1"/>
  <c r="D35" i="1"/>
  <c r="H35" i="2"/>
  <c r="I35" i="2" s="1"/>
  <c r="J35" i="2" s="1"/>
  <c r="C38" i="4"/>
  <c r="B37" i="2"/>
  <c r="F35" i="1" l="1"/>
  <c r="H35" i="1" s="1"/>
  <c r="I35" i="1" s="1"/>
  <c r="J35" i="1" s="1"/>
  <c r="B38" i="4" a="1"/>
  <c r="B38" i="4" s="1"/>
  <c r="A37" i="6"/>
  <c r="G37" i="6" s="1"/>
  <c r="H37" i="6" s="1"/>
  <c r="A37" i="2"/>
  <c r="A37" i="1"/>
  <c r="D36" i="2"/>
  <c r="H36" i="2"/>
  <c r="I36" i="2" s="1"/>
  <c r="E36" i="2"/>
  <c r="E36" i="1"/>
  <c r="D36" i="1"/>
  <c r="C36" i="1"/>
  <c r="F38" i="4"/>
  <c r="B38" i="1"/>
  <c r="F35" i="2"/>
  <c r="B38" i="6"/>
  <c r="C39" i="4"/>
  <c r="B38" i="2"/>
  <c r="D37" i="1" l="1"/>
  <c r="C37" i="1"/>
  <c r="E37" i="1"/>
  <c r="F36" i="2"/>
  <c r="J36" i="2" s="1"/>
  <c r="D37" i="2"/>
  <c r="H37" i="2"/>
  <c r="I37" i="2" s="1"/>
  <c r="J37" i="2" s="1"/>
  <c r="E37" i="2"/>
  <c r="F37" i="2" s="1"/>
  <c r="B39" i="1"/>
  <c r="F39" i="4"/>
  <c r="F36" i="1"/>
  <c r="H36" i="1" s="1"/>
  <c r="I36" i="1" s="1"/>
  <c r="J36" i="1" s="1"/>
  <c r="B39" i="4" a="1"/>
  <c r="B39" i="4" s="1"/>
  <c r="A38" i="6"/>
  <c r="G38" i="6" s="1"/>
  <c r="H38" i="6" s="1"/>
  <c r="A38" i="1"/>
  <c r="A38" i="2"/>
  <c r="C40" i="4"/>
  <c r="B39" i="2"/>
  <c r="B39" i="6"/>
  <c r="C41" i="4" l="1"/>
  <c r="B40" i="1"/>
  <c r="F40" i="4"/>
  <c r="B40" i="4" a="1"/>
  <c r="B40" i="4" s="1"/>
  <c r="A39" i="6"/>
  <c r="G39" i="6" s="1"/>
  <c r="H39" i="6" s="1"/>
  <c r="A39" i="2"/>
  <c r="A39" i="1"/>
  <c r="D38" i="2"/>
  <c r="F38" i="2" s="1"/>
  <c r="H38" i="2"/>
  <c r="I38" i="2" s="1"/>
  <c r="E38" i="2"/>
  <c r="D38" i="1"/>
  <c r="E38" i="1"/>
  <c r="C38" i="1"/>
  <c r="F37" i="1"/>
  <c r="H37" i="1" s="1"/>
  <c r="I37" i="1" s="1"/>
  <c r="J37" i="1" s="1"/>
  <c r="B40" i="6"/>
  <c r="B40" i="2"/>
  <c r="J38" i="2" l="1"/>
  <c r="D39" i="2"/>
  <c r="H39" i="2"/>
  <c r="I39" i="2" s="1"/>
  <c r="J39" i="2" s="1"/>
  <c r="E39" i="2"/>
  <c r="F39" i="2" s="1"/>
  <c r="C39" i="1"/>
  <c r="D39" i="1"/>
  <c r="E39" i="1"/>
  <c r="B41" i="4" a="1"/>
  <c r="B41" i="4" s="1"/>
  <c r="A40" i="1"/>
  <c r="A40" i="2"/>
  <c r="A40" i="6"/>
  <c r="G40" i="6" s="1"/>
  <c r="F38" i="1"/>
  <c r="H38" i="1" s="1"/>
  <c r="I38" i="1" s="1"/>
  <c r="J38" i="1" s="1"/>
  <c r="C42" i="4"/>
  <c r="B41" i="1"/>
  <c r="F41" i="4"/>
  <c r="B41" i="2"/>
  <c r="B41" i="6"/>
  <c r="F39" i="1" l="1"/>
  <c r="H39" i="1" s="1"/>
  <c r="I39" i="1" s="1"/>
  <c r="J39" i="1" s="1"/>
  <c r="B42" i="4" a="1"/>
  <c r="B42" i="4" s="1"/>
  <c r="A41" i="6"/>
  <c r="G41" i="6" s="1"/>
  <c r="H41" i="6" s="1"/>
  <c r="A41" i="2"/>
  <c r="A41" i="1"/>
  <c r="C43" i="4"/>
  <c r="F42" i="4"/>
  <c r="B42" i="1"/>
  <c r="B42" i="2"/>
  <c r="B42" i="6"/>
  <c r="H40" i="6"/>
  <c r="D40" i="2"/>
  <c r="H40" i="2"/>
  <c r="E40" i="2"/>
  <c r="D40" i="1"/>
  <c r="E40" i="1"/>
  <c r="C40" i="1"/>
  <c r="F18" i="6"/>
  <c r="E22" i="6"/>
  <c r="I40" i="2" l="1"/>
  <c r="J40" i="2" s="1"/>
  <c r="F43" i="4"/>
  <c r="B43" i="1"/>
  <c r="B43" i="2"/>
  <c r="C44" i="2" s="1"/>
  <c r="B43" i="6"/>
  <c r="I44" i="2"/>
  <c r="L17" i="4" s="1"/>
  <c r="C41" i="1"/>
  <c r="D41" i="1"/>
  <c r="E41" i="1"/>
  <c r="H41" i="2"/>
  <c r="I41" i="2" s="1"/>
  <c r="D41" i="2"/>
  <c r="E41" i="2"/>
  <c r="F40" i="1"/>
  <c r="H40" i="1" s="1"/>
  <c r="I40" i="1" s="1"/>
  <c r="J40" i="1" s="1"/>
  <c r="F40" i="6" s="1"/>
  <c r="F40" i="2"/>
  <c r="B43" i="4" a="1"/>
  <c r="B43" i="4" s="1"/>
  <c r="A42" i="2"/>
  <c r="A42" i="6"/>
  <c r="G42" i="6" s="1"/>
  <c r="H42" i="6" s="1"/>
  <c r="A42" i="1"/>
  <c r="E39" i="6"/>
  <c r="F39" i="6"/>
  <c r="F35" i="6"/>
  <c r="E30" i="6"/>
  <c r="E24" i="6"/>
  <c r="E34" i="6"/>
  <c r="E28" i="6"/>
  <c r="F16" i="6"/>
  <c r="F32" i="6"/>
  <c r="F26" i="6"/>
  <c r="E17" i="6"/>
  <c r="F17" i="6"/>
  <c r="F29" i="6"/>
  <c r="E29" i="6"/>
  <c r="F37" i="6"/>
  <c r="E37" i="6"/>
  <c r="E21" i="6"/>
  <c r="F21" i="6"/>
  <c r="E19" i="6"/>
  <c r="E18" i="6"/>
  <c r="F22" i="6"/>
  <c r="E42" i="1" l="1"/>
  <c r="D42" i="1"/>
  <c r="C42" i="1"/>
  <c r="F41" i="2"/>
  <c r="J41" i="2" s="1"/>
  <c r="D42" i="2"/>
  <c r="H42" i="2"/>
  <c r="I42" i="2" s="1"/>
  <c r="E42" i="2"/>
  <c r="C45" i="6"/>
  <c r="E40" i="6"/>
  <c r="A43" i="6"/>
  <c r="G43" i="6" s="1"/>
  <c r="H43" i="6" s="1"/>
  <c r="A43" i="2"/>
  <c r="A43" i="1"/>
  <c r="F41" i="1"/>
  <c r="H41" i="1" s="1"/>
  <c r="I41" i="1" s="1"/>
  <c r="J41" i="1" s="1"/>
  <c r="F41" i="6" s="1"/>
  <c r="F19" i="6"/>
  <c r="E15" i="6"/>
  <c r="F38" i="6"/>
  <c r="F28" i="6"/>
  <c r="E35" i="6"/>
  <c r="E16" i="6"/>
  <c r="E26" i="6"/>
  <c r="F24" i="6"/>
  <c r="E32" i="6"/>
  <c r="F34" i="6"/>
  <c r="F30" i="6"/>
  <c r="E23" i="6"/>
  <c r="F23" i="6"/>
  <c r="E31" i="6"/>
  <c r="F31" i="6"/>
  <c r="E38" i="6"/>
  <c r="E20" i="6"/>
  <c r="F20" i="6"/>
  <c r="E25" i="6"/>
  <c r="F25" i="6"/>
  <c r="F27" i="6"/>
  <c r="E27" i="6"/>
  <c r="E36" i="6"/>
  <c r="F36" i="6"/>
  <c r="F33" i="6"/>
  <c r="E33" i="6"/>
  <c r="D43" i="1" l="1"/>
  <c r="C43" i="1"/>
  <c r="E43" i="1"/>
  <c r="F42" i="2"/>
  <c r="J42" i="2" s="1"/>
  <c r="D43" i="2"/>
  <c r="H43" i="2"/>
  <c r="E43" i="2"/>
  <c r="E41" i="6"/>
  <c r="F42" i="1"/>
  <c r="H42" i="1" s="1"/>
  <c r="F15" i="6"/>
  <c r="F43" i="2" l="1"/>
  <c r="I43" i="2"/>
  <c r="J43" i="2" s="1"/>
  <c r="J44" i="2" s="1"/>
  <c r="M17" i="4" s="1"/>
  <c r="J17" i="4"/>
  <c r="I42" i="1"/>
  <c r="F43" i="1"/>
  <c r="H43" i="1" s="1"/>
  <c r="I43" i="1" s="1"/>
  <c r="I46" i="1" s="1"/>
  <c r="L16" i="4" l="1"/>
  <c r="E43" i="6"/>
  <c r="J43" i="1"/>
  <c r="J46" i="1" s="1"/>
  <c r="J16" i="4"/>
  <c r="J42" i="1"/>
  <c r="F42" i="6" s="1"/>
  <c r="E42" i="6"/>
  <c r="E45" i="6" s="1"/>
  <c r="F45" i="6" l="1"/>
  <c r="I44" i="6" s="1"/>
  <c r="J44" i="6" s="1"/>
  <c r="K44" i="6" s="1"/>
  <c r="L44" i="6" s="1"/>
  <c r="M16" i="4"/>
  <c r="F43" i="6"/>
  <c r="I19" i="6"/>
  <c r="J19" i="6" s="1"/>
  <c r="I18" i="6"/>
  <c r="J18" i="6" s="1"/>
  <c r="K18" i="6" s="1"/>
  <c r="I17" i="6"/>
  <c r="J17" i="6" s="1"/>
  <c r="K17" i="6" s="1"/>
  <c r="L17" i="6" s="1"/>
  <c r="I16" i="6" l="1"/>
  <c r="J16" i="6" s="1"/>
  <c r="K16" i="6" s="1"/>
  <c r="L16" i="6" s="1"/>
  <c r="I41" i="6"/>
  <c r="J41" i="6" s="1"/>
  <c r="I43" i="6"/>
  <c r="J43" i="6" s="1"/>
  <c r="I42" i="6"/>
  <c r="J42" i="6" s="1"/>
  <c r="I35" i="6"/>
  <c r="J35" i="6" s="1"/>
  <c r="I20" i="6"/>
  <c r="J20" i="6" s="1"/>
  <c r="I40" i="6"/>
  <c r="J40" i="6" s="1"/>
  <c r="I34" i="6"/>
  <c r="J34" i="6" s="1"/>
  <c r="I31" i="6"/>
  <c r="J31" i="6" s="1"/>
  <c r="I37" i="6"/>
  <c r="J37" i="6" s="1"/>
  <c r="I23" i="6"/>
  <c r="J23" i="6" s="1"/>
  <c r="I24" i="6"/>
  <c r="J24" i="6" s="1"/>
  <c r="I33" i="6"/>
  <c r="J33" i="6" s="1"/>
  <c r="I38" i="6"/>
  <c r="J38" i="6" s="1"/>
  <c r="I26" i="6"/>
  <c r="J26" i="6" s="1"/>
  <c r="I27" i="6"/>
  <c r="J27" i="6" s="1"/>
  <c r="I32" i="6"/>
  <c r="J32" i="6" s="1"/>
  <c r="I22" i="6"/>
  <c r="J22" i="6" s="1"/>
  <c r="I25" i="6"/>
  <c r="J25" i="6" s="1"/>
  <c r="I36" i="6"/>
  <c r="J36" i="6" s="1"/>
  <c r="I29" i="6"/>
  <c r="J29" i="6" s="1"/>
  <c r="I30" i="6"/>
  <c r="J30" i="6" s="1"/>
  <c r="I21" i="6"/>
  <c r="J21" i="6" s="1"/>
  <c r="I39" i="6"/>
  <c r="J39" i="6" s="1"/>
  <c r="I28" i="6"/>
  <c r="J28" i="6" s="1"/>
  <c r="L18" i="6"/>
  <c r="K19" i="6"/>
  <c r="J18" i="4" l="1"/>
  <c r="L19" i="6"/>
  <c r="K20" i="6"/>
  <c r="L20" i="6" l="1"/>
  <c r="K21" i="6"/>
  <c r="L21" i="6" l="1"/>
  <c r="K22" i="6"/>
  <c r="L22" i="6" l="1"/>
  <c r="K23" i="6"/>
  <c r="L23" i="6" l="1"/>
  <c r="K24" i="6"/>
  <c r="L24" i="6" l="1"/>
  <c r="K25" i="6"/>
  <c r="L25" i="6" l="1"/>
  <c r="K26" i="6"/>
  <c r="L26" i="6" s="1"/>
  <c r="K27" i="6" l="1"/>
  <c r="L27" i="6" s="1"/>
  <c r="K28" i="6" l="1"/>
  <c r="L28" i="6" s="1"/>
  <c r="K29" i="6" l="1"/>
  <c r="L29" i="6" s="1"/>
  <c r="K30" i="6" l="1"/>
  <c r="L30" i="6" s="1"/>
  <c r="K31" i="6" l="1"/>
  <c r="L31" i="6" s="1"/>
  <c r="K32" i="6" l="1"/>
  <c r="L32" i="6" s="1"/>
  <c r="K33" i="6" l="1"/>
  <c r="L33" i="6" s="1"/>
  <c r="K34" i="6" l="1"/>
  <c r="L34" i="6" s="1"/>
  <c r="K35" i="6" l="1"/>
  <c r="L35" i="6" s="1"/>
  <c r="K36" i="6" l="1"/>
  <c r="L36" i="6" s="1"/>
  <c r="K37" i="6" l="1"/>
  <c r="L37" i="6" s="1"/>
  <c r="K38" i="6" l="1"/>
  <c r="L38" i="6" s="1"/>
  <c r="K39" i="6" l="1"/>
  <c r="L39" i="6" s="1"/>
  <c r="K40" i="6" l="1"/>
  <c r="L40" i="6" s="1"/>
  <c r="K41" i="6" l="1"/>
  <c r="L41" i="6" s="1"/>
  <c r="K43" i="6" l="1"/>
  <c r="K45" i="6" s="1"/>
  <c r="K42" i="6"/>
  <c r="L42" i="6" s="1"/>
  <c r="L43" i="6" l="1"/>
  <c r="L45" i="6" s="1"/>
  <c r="L18" i="4"/>
  <c r="M18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tc={AD73844F-7122-4364-B952-3FAE0FA67368}</author>
  </authors>
  <commentList>
    <comment ref="F9" authorId="0" shapeId="0" xr:uid="{AD73844F-7122-4364-B952-3FAE0FA67368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 reported value is in dollars for that first year of operation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tc={C86354CD-000D-48DB-A59A-CBACB2717B6B}</author>
  </authors>
  <commentList>
    <comment ref="J13" authorId="0" shapeId="0" xr:uid="{C86354CD-000D-48DB-A59A-CBACB2717B6B}">
      <text>
        <t>[Threaded comment]
Your version of Excel allows you to read this threaded comment; however, any edits to it will get removed if the file is opened in a newer version of Excel. Learn more: https://go.microsoft.com/fwlink/?linkid=870924
Comment:
    bring to 2024 present worth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tc={E54915A2-B052-4ABD-841F-4BA1A047F75F}</author>
  </authors>
  <commentList>
    <comment ref="H13" authorId="0" shapeId="0" xr:uid="{E54915A2-B052-4ABD-841F-4BA1A047F75F}">
      <text>
        <t>[Threaded comment]
Your version of Excel allows you to read this threaded comment; however, any edits to it will get removed if the file is opened in a newer version of Excel. Learn more: https://go.microsoft.com/fwlink/?linkid=870924
Comment:
    bring to 2024 present worth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<sst xmlns="http://schemas.openxmlformats.org/spreadsheetml/2006/main" count="108" uniqueCount="62">
  <si>
    <t>Instructions:  Input project data below and see the results of three payment options in the Summary Table.</t>
  </si>
  <si>
    <t>Project Cost Data:</t>
  </si>
  <si>
    <t>Contract Yield (AFY) =</t>
  </si>
  <si>
    <t xml:space="preserve">LRP contract Yield </t>
  </si>
  <si>
    <t>Capital Cost ($)</t>
  </si>
  <si>
    <t>Total capital costs (design, construction, construction management) minus any grants from state, federal, or other agencies</t>
  </si>
  <si>
    <t xml:space="preserve">Interest Rate (%) =  </t>
  </si>
  <si>
    <t xml:space="preserve">Capital costs financing rate </t>
  </si>
  <si>
    <t>Term (Years) =</t>
  </si>
  <si>
    <t>Capital costs financing term</t>
  </si>
  <si>
    <t xml:space="preserve">Annualized Capital Cost = </t>
  </si>
  <si>
    <t xml:space="preserve">LRP assumes that capital payments starts with the start of operation over financing term (e.g. 25 years)  </t>
  </si>
  <si>
    <t>First year O&amp;M costs ($)=</t>
  </si>
  <si>
    <t>O&amp;M reported for LRP facilities ony</t>
  </si>
  <si>
    <t xml:space="preserve">Inflation rate for O&amp;M cost projections = </t>
  </si>
  <si>
    <t>Project Production Data</t>
  </si>
  <si>
    <t>Summary Table - LRP Payment Alternatives Comparison</t>
  </si>
  <si>
    <t>Fiscal Year End</t>
  </si>
  <si>
    <t>(AF)</t>
  </si>
  <si>
    <t>LRP Eff. Rate</t>
  </si>
  <si>
    <t>Option</t>
  </si>
  <si>
    <t>Incentive Type</t>
  </si>
  <si>
    <t>Max Incentive</t>
  </si>
  <si>
    <t>Term</t>
  </si>
  <si>
    <t xml:space="preserve">Total Payment </t>
  </si>
  <si>
    <t>4% P.W. Payment</t>
  </si>
  <si>
    <t>($/AF)</t>
  </si>
  <si>
    <t>(Years)</t>
  </si>
  <si>
    <t>($)</t>
  </si>
  <si>
    <t>Alternative 1</t>
  </si>
  <si>
    <t>sliding Scale</t>
  </si>
  <si>
    <t>Alternative 2</t>
  </si>
  <si>
    <t>Alternative 3</t>
  </si>
  <si>
    <t>fixed rate</t>
  </si>
  <si>
    <t>notes:</t>
  </si>
  <si>
    <t>1.  These calcs are just an estimate for LRP application evaluation.  It does not represent the actual LRP payments.</t>
  </si>
  <si>
    <t xml:space="preserve">      It is based on assumptions and estimates that may not be accurate in the future.</t>
  </si>
  <si>
    <t>Sample LRP Project - sliding scale up to $340/AF over 25 years</t>
  </si>
  <si>
    <t xml:space="preserve">Description - sliding scale incentives up to $340/AF, calculated annually based on actual project unit cost (capital + O&amp;M) exceeding MWD prevailing water rate.  Agreement is for 25 years. </t>
  </si>
  <si>
    <t>Determine LRP payments based on $340/AF over 25 years</t>
  </si>
  <si>
    <t>Project Yield</t>
  </si>
  <si>
    <t>Annualized Capital Cost</t>
  </si>
  <si>
    <t>O&amp;M Cost</t>
  </si>
  <si>
    <t>Project Unit Cost</t>
  </si>
  <si>
    <t>LRP Effective Water Rate*</t>
  </si>
  <si>
    <t>LRP Contribution</t>
  </si>
  <si>
    <t>LRP Payment</t>
  </si>
  <si>
    <t>4% P.W. LRP Payment</t>
  </si>
  <si>
    <t xml:space="preserve">*  LRP Effective Water Rate is calculated based on a formula in MWD Admin Code.  The rate projections are  based on Metropolitan Board adopts new water rates in april 2016.  </t>
  </si>
  <si>
    <t>Sample LRP Project - sliding scale up to $475/AF over 15 years</t>
  </si>
  <si>
    <t>Description - sliding scale incentives up to $475/AF, calculated annually based on actual project unit cost (capital + O&amp;M) exceeding MWD prevailing water rate.  Agreement is for 25 years but payments is over 15 years.  Agency must produce a minimum amount (i.e. average yield in years 12 through 15) of project yield during years 16 through 25.  Agency will reimburse MWD for previously received payments for lack of performance.</t>
  </si>
  <si>
    <t>Determine LRP payments based on $475/AF over 15 years</t>
  </si>
  <si>
    <t xml:space="preserve">*  LRP Effective Water Rate is calculated based on a formula in MWD Admin Code.  The rate projections are  set each year after Metropolitan Board adopts new water rates. </t>
  </si>
  <si>
    <t>Sample LRP Project - fixed rate up to $305/AF over 25 years</t>
  </si>
  <si>
    <t xml:space="preserve">Description - Fixed incentives up to $305/AF.  Agreement is for 25 years.  The fixed incentive is calculated using the spreadsheet below (see highlighted cell).  </t>
  </si>
  <si>
    <t>LRP payments based on $340/AF over 25 years (from other tab)</t>
  </si>
  <si>
    <t>Equivalent Fixed LRP Incentive</t>
  </si>
  <si>
    <t>Final LRP Incentive and Payments</t>
  </si>
  <si>
    <t>LRP Payment for $1 fixed rate</t>
  </si>
  <si>
    <t>4% P.W. LRP Payment for $1 fixed rate</t>
  </si>
  <si>
    <t>Final LRP Incentive (applying 90%)</t>
  </si>
  <si>
    <t>Enter First Fiscal Year of Operation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</si>
</sst>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&quot;$&quot;#,##0"/>
    <numFmt numFmtId="167" formatCode="_(* #,##0_);_(* \(#,##0\);_(* &quot;-&quot;??_);_(@_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2"/>
      <color theme="1"/>
      <name val="Calibri"/>
      <family val="2"/>
    </font>
    <font>
      <b/>
      <sz val="12"/>
      <color theme="3"/>
      <name val="Calibri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rgb="FF0070C0"/>
      <name val="Calibri"/>
      <family val="2"/>
    </font>
    <font>
      <sz val="12"/>
      <color rgb="FF0070C0"/>
      <name val="Arial"/>
      <family val="2"/>
    </font>
    <font>
      <sz val="12"/>
      <color rgb="FF0070C0"/>
      <name val="Calibri"/>
      <family val="2"/>
      <scheme val="minor"/>
    </font>
    <font>
      <sz val="14"/>
      <color indexed="8"/>
      <name val="Calibri"/>
      <family val="2"/>
    </font>
    <font>
      <sz val="14"/>
      <color theme="3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</font>
    <font>
      <b/>
      <sz val="14"/>
      <name val="Calibri"/>
      <family val="2"/>
    </font>
    <font>
      <b/>
      <sz val="14"/>
      <name val="Calibri"/>
      <family val="2"/>
      <scheme val="minor"/>
    </font>
    <font>
      <sz val="12"/>
      <color theme="5"/>
      <name val="Calibri"/>
      <family val="2"/>
      <scheme val="minor"/>
    </font>
    <font>
      <sz val="14"/>
      <color theme="5"/>
      <name val="Calibri"/>
      <family val="2"/>
      <scheme val="minor"/>
    </font>
    <font>
      <sz val="12"/>
      <color theme="5"/>
      <name val="Calibri"/>
      <family val="2"/>
    </font>
    <font>
      <b/>
      <sz val="12"/>
      <color theme="5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5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3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>
      <alignment vertical="center"/>
    </xf>
    <xf numFmtId="0" fontId="3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7">
    <xf numFmtId="0" fontId="0" fillId="0" borderId="0" xfId="0"/>
    <xf numFmtId="0" fontId="2" fillId="0" borderId="0" xfId="0" applyFont="1" applyAlignment="1">
      <alignment vertical="center"/>
    </xf>
    <xf numFmtId="0" fontId="3" fillId="0" borderId="0" xfId="1"/>
    <xf numFmtId="0" fontId="4" fillId="0" borderId="4" xfId="1" applyFont="1" applyBorder="1"/>
    <xf numFmtId="0" fontId="5" fillId="0" borderId="0" xfId="1" applyFont="1"/>
    <xf numFmtId="0" fontId="5" fillId="0" borderId="0" xfId="1" applyFont="1" applyAlignment="1">
      <alignment horizontal="center"/>
    </xf>
    <xf numFmtId="0" fontId="4" fillId="0" borderId="0" xfId="1" applyFont="1"/>
    <xf numFmtId="6" fontId="4" fillId="0" borderId="5" xfId="1" applyNumberFormat="1" applyFont="1" applyBorder="1"/>
    <xf numFmtId="0" fontId="4" fillId="0" borderId="6" xfId="1" applyFont="1" applyBorder="1"/>
    <xf numFmtId="0" fontId="5" fillId="0" borderId="6" xfId="1" applyFont="1" applyBorder="1"/>
    <xf numFmtId="1" fontId="4" fillId="0" borderId="0" xfId="1" applyNumberFormat="1" applyFont="1"/>
    <xf numFmtId="165" fontId="4" fillId="0" borderId="0" xfId="1" applyNumberFormat="1" applyFont="1"/>
    <xf numFmtId="0" fontId="3" fillId="0" borderId="0" xfId="1" applyAlignment="1">
      <alignment wrapText="1"/>
    </xf>
    <xf numFmtId="0" fontId="7" fillId="0" borderId="0" xfId="1" applyFont="1"/>
    <xf numFmtId="164" fontId="3" fillId="0" borderId="0" xfId="1" applyNumberFormat="1"/>
    <xf numFmtId="0" fontId="3" fillId="0" borderId="0" xfId="1" applyAlignment="1">
      <alignment horizontal="center"/>
    </xf>
    <xf numFmtId="3" fontId="4" fillId="0" borderId="5" xfId="1" applyNumberFormat="1" applyFont="1" applyBorder="1"/>
    <xf numFmtId="0" fontId="4" fillId="0" borderId="8" xfId="1" applyFont="1" applyBorder="1"/>
    <xf numFmtId="9" fontId="4" fillId="0" borderId="5" xfId="22" applyFont="1" applyBorder="1"/>
    <xf numFmtId="166" fontId="3" fillId="0" borderId="0" xfId="1" applyNumberFormat="1"/>
    <xf numFmtId="3" fontId="3" fillId="0" borderId="0" xfId="1" applyNumberFormat="1"/>
    <xf numFmtId="0" fontId="6" fillId="4" borderId="9" xfId="1" applyFont="1" applyFill="1" applyBorder="1" applyAlignment="1">
      <alignment horizontal="center" wrapText="1"/>
    </xf>
    <xf numFmtId="0" fontId="6" fillId="3" borderId="9" xfId="1" applyFont="1" applyFill="1" applyBorder="1" applyAlignment="1">
      <alignment horizontal="center" wrapText="1"/>
    </xf>
    <xf numFmtId="0" fontId="6" fillId="4" borderId="9" xfId="1" applyFont="1" applyFill="1" applyBorder="1" applyAlignment="1">
      <alignment horizontal="center"/>
    </xf>
    <xf numFmtId="0" fontId="6" fillId="3" borderId="9" xfId="1" applyFont="1" applyFill="1" applyBorder="1" applyAlignment="1">
      <alignment horizontal="center"/>
    </xf>
    <xf numFmtId="166" fontId="4" fillId="4" borderId="9" xfId="1" applyNumberFormat="1" applyFont="1" applyFill="1" applyBorder="1"/>
    <xf numFmtId="166" fontId="4" fillId="3" borderId="9" xfId="1" applyNumberFormat="1" applyFont="1" applyFill="1" applyBorder="1"/>
    <xf numFmtId="0" fontId="6" fillId="0" borderId="9" xfId="1" applyFont="1" applyBorder="1" applyAlignment="1">
      <alignment horizontal="center" wrapText="1"/>
    </xf>
    <xf numFmtId="0" fontId="10" fillId="0" borderId="9" xfId="1" applyFont="1" applyBorder="1" applyAlignment="1">
      <alignment horizontal="center" wrapText="1"/>
    </xf>
    <xf numFmtId="0" fontId="6" fillId="0" borderId="9" xfId="1" applyFont="1" applyBorder="1" applyAlignment="1">
      <alignment horizontal="center"/>
    </xf>
    <xf numFmtId="0" fontId="6" fillId="0" borderId="9" xfId="1" applyFont="1" applyBorder="1"/>
    <xf numFmtId="4" fontId="6" fillId="0" borderId="9" xfId="1" applyNumberFormat="1" applyFont="1" applyBorder="1" applyAlignment="1">
      <alignment horizontal="center"/>
    </xf>
    <xf numFmtId="0" fontId="10" fillId="0" borderId="9" xfId="1" applyFont="1" applyBorder="1" applyAlignment="1">
      <alignment horizontal="center"/>
    </xf>
    <xf numFmtId="0" fontId="4" fillId="0" borderId="9" xfId="1" applyFont="1" applyBorder="1" applyAlignment="1">
      <alignment horizontal="right"/>
    </xf>
    <xf numFmtId="166" fontId="4" fillId="0" borderId="9" xfId="1" applyNumberFormat="1" applyFont="1" applyBorder="1"/>
    <xf numFmtId="166" fontId="11" fillId="0" borderId="9" xfId="0" applyNumberFormat="1" applyFont="1" applyBorder="1"/>
    <xf numFmtId="0" fontId="12" fillId="0" borderId="0" xfId="1" applyFont="1"/>
    <xf numFmtId="0" fontId="4" fillId="0" borderId="1" xfId="1" applyFont="1" applyBorder="1"/>
    <xf numFmtId="0" fontId="5" fillId="0" borderId="2" xfId="1" applyFont="1" applyBorder="1"/>
    <xf numFmtId="0" fontId="4" fillId="0" borderId="3" xfId="1" applyFont="1" applyBorder="1"/>
    <xf numFmtId="0" fontId="4" fillId="0" borderId="2" xfId="1" applyFont="1" applyBorder="1"/>
    <xf numFmtId="8" fontId="5" fillId="0" borderId="0" xfId="1" applyNumberFormat="1" applyFont="1"/>
    <xf numFmtId="0" fontId="15" fillId="0" borderId="9" xfId="1" applyFont="1" applyBorder="1" applyAlignment="1">
      <alignment horizontal="center" vertical="center"/>
    </xf>
    <xf numFmtId="0" fontId="16" fillId="0" borderId="9" xfId="1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5" fontId="3" fillId="3" borderId="9" xfId="23" applyNumberFormat="1" applyFont="1" applyFill="1" applyBorder="1" applyAlignment="1">
      <alignment horizontal="center"/>
    </xf>
    <xf numFmtId="0" fontId="14" fillId="0" borderId="0" xfId="0" applyFont="1" applyAlignment="1">
      <alignment vertical="center"/>
    </xf>
    <xf numFmtId="0" fontId="10" fillId="0" borderId="0" xfId="1" applyFont="1" applyAlignment="1">
      <alignment horizontal="center" wrapText="1"/>
    </xf>
    <xf numFmtId="0" fontId="4" fillId="0" borderId="9" xfId="1" applyFont="1" applyBorder="1" applyAlignment="1">
      <alignment horizontal="center"/>
    </xf>
    <xf numFmtId="166" fontId="4" fillId="4" borderId="9" xfId="1" applyNumberFormat="1" applyFont="1" applyFill="1" applyBorder="1" applyAlignment="1">
      <alignment horizontal="center"/>
    </xf>
    <xf numFmtId="0" fontId="17" fillId="0" borderId="0" xfId="1" applyFont="1"/>
    <xf numFmtId="8" fontId="18" fillId="0" borderId="0" xfId="1" applyNumberFormat="1" applyFont="1"/>
    <xf numFmtId="0" fontId="19" fillId="0" borderId="0" xfId="1" applyFont="1" applyAlignment="1">
      <alignment horizontal="right"/>
    </xf>
    <xf numFmtId="5" fontId="20" fillId="0" borderId="0" xfId="1" applyNumberFormat="1" applyFont="1" applyAlignment="1">
      <alignment horizontal="center"/>
    </xf>
    <xf numFmtId="0" fontId="22" fillId="0" borderId="0" xfId="0" applyFont="1" applyAlignment="1">
      <alignment vertical="center"/>
    </xf>
    <xf numFmtId="0" fontId="21" fillId="0" borderId="13" xfId="0" applyFont="1" applyBorder="1" applyAlignment="1">
      <alignment vertical="center"/>
    </xf>
    <xf numFmtId="0" fontId="23" fillId="0" borderId="0" xfId="1" applyFont="1" applyAlignment="1">
      <alignment horizontal="center"/>
    </xf>
    <xf numFmtId="0" fontId="21" fillId="0" borderId="15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1" applyFont="1" applyAlignment="1">
      <alignment horizontal="left"/>
    </xf>
    <xf numFmtId="0" fontId="21" fillId="0" borderId="17" xfId="0" applyFont="1" applyBorder="1" applyAlignment="1">
      <alignment vertical="center"/>
    </xf>
    <xf numFmtId="0" fontId="21" fillId="0" borderId="18" xfId="0" applyFont="1" applyBorder="1" applyAlignment="1">
      <alignment vertical="center"/>
    </xf>
    <xf numFmtId="0" fontId="10" fillId="0" borderId="0" xfId="1" applyFont="1" applyAlignment="1">
      <alignment wrapText="1"/>
    </xf>
    <xf numFmtId="0" fontId="24" fillId="0" borderId="9" xfId="1" applyFont="1" applyBorder="1"/>
    <xf numFmtId="0" fontId="24" fillId="0" borderId="9" xfId="1" applyFont="1" applyBorder="1" applyAlignment="1">
      <alignment horizontal="center"/>
    </xf>
    <xf numFmtId="0" fontId="23" fillId="0" borderId="9" xfId="1" applyFont="1" applyBorder="1" applyAlignment="1">
      <alignment horizontal="right"/>
    </xf>
    <xf numFmtId="3" fontId="23" fillId="0" borderId="0" xfId="1" applyNumberFormat="1" applyFont="1"/>
    <xf numFmtId="0" fontId="25" fillId="0" borderId="9" xfId="1" applyFont="1" applyBorder="1" applyAlignment="1">
      <alignment horizontal="right"/>
    </xf>
    <xf numFmtId="0" fontId="10" fillId="0" borderId="0" xfId="1" applyFont="1" applyAlignment="1">
      <alignment horizontal="left"/>
    </xf>
    <xf numFmtId="3" fontId="11" fillId="0" borderId="9" xfId="0" applyNumberFormat="1" applyFont="1" applyBorder="1"/>
    <xf numFmtId="0" fontId="26" fillId="0" borderId="0" xfId="0" applyFont="1" applyAlignment="1">
      <alignment vertical="center"/>
    </xf>
    <xf numFmtId="0" fontId="27" fillId="0" borderId="12" xfId="0" applyFont="1" applyBorder="1" applyAlignment="1">
      <alignment vertical="center"/>
    </xf>
    <xf numFmtId="0" fontId="23" fillId="0" borderId="9" xfId="1" applyFont="1" applyBorder="1"/>
    <xf numFmtId="3" fontId="23" fillId="5" borderId="9" xfId="1" applyNumberFormat="1" applyFont="1" applyFill="1" applyBorder="1"/>
    <xf numFmtId="6" fontId="23" fillId="0" borderId="9" xfId="1" applyNumberFormat="1" applyFont="1" applyBorder="1"/>
    <xf numFmtId="9" fontId="23" fillId="0" borderId="9" xfId="22" applyFont="1" applyBorder="1"/>
    <xf numFmtId="164" fontId="15" fillId="0" borderId="9" xfId="23" applyNumberFormat="1" applyFont="1" applyBorder="1" applyAlignment="1">
      <alignment horizontal="center" vertical="center"/>
    </xf>
    <xf numFmtId="164" fontId="13" fillId="0" borderId="9" xfId="23" applyNumberFormat="1" applyFont="1" applyBorder="1" applyAlignment="1">
      <alignment horizontal="center"/>
    </xf>
    <xf numFmtId="164" fontId="3" fillId="0" borderId="0" xfId="23" applyNumberFormat="1" applyFont="1"/>
    <xf numFmtId="3" fontId="11" fillId="0" borderId="11" xfId="0" applyNumberFormat="1" applyFont="1" applyBorder="1"/>
    <xf numFmtId="165" fontId="23" fillId="5" borderId="9" xfId="22" applyNumberFormat="1" applyFont="1" applyFill="1" applyBorder="1"/>
    <xf numFmtId="0" fontId="23" fillId="5" borderId="9" xfId="1" applyFont="1" applyFill="1" applyBorder="1"/>
    <xf numFmtId="167" fontId="3" fillId="0" borderId="0" xfId="24" applyNumberFormat="1" applyFont="1"/>
    <xf numFmtId="0" fontId="3" fillId="0" borderId="0" xfId="1" applyAlignment="1">
      <alignment horizontal="left" vertical="top" wrapText="1"/>
    </xf>
    <xf numFmtId="165" fontId="4" fillId="0" borderId="5" xfId="22" applyNumberFormat="1" applyFont="1" applyBorder="1"/>
    <xf numFmtId="0" fontId="4" fillId="0" borderId="7" xfId="22" applyNumberFormat="1" applyFont="1" applyBorder="1"/>
    <xf numFmtId="3" fontId="5" fillId="0" borderId="0" xfId="1" applyNumberFormat="1" applyFont="1" applyAlignment="1">
      <alignment horizontal="center"/>
    </xf>
    <xf numFmtId="3" fontId="5" fillId="0" borderId="0" xfId="1" applyNumberFormat="1" applyFont="1"/>
    <xf numFmtId="0" fontId="15" fillId="2" borderId="9" xfId="1" applyFont="1" applyFill="1" applyBorder="1" applyAlignment="1">
      <alignment horizontal="center"/>
    </xf>
    <xf numFmtId="0" fontId="15" fillId="0" borderId="10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6" fillId="0" borderId="10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24" fillId="0" borderId="9" xfId="1" applyFont="1" applyBorder="1" applyAlignment="1">
      <alignment horizontal="center" wrapText="1"/>
    </xf>
    <xf numFmtId="0" fontId="4" fillId="0" borderId="9" xfId="1" applyFont="1" applyBorder="1" applyAlignment="1">
      <alignment horizontal="center"/>
    </xf>
    <xf numFmtId="0" fontId="3" fillId="0" borderId="12" xfId="1" applyBorder="1" applyAlignment="1">
      <alignment horizontal="left" vertical="top" wrapText="1"/>
    </xf>
    <xf numFmtId="0" fontId="3" fillId="0" borderId="13" xfId="1" applyBorder="1" applyAlignment="1">
      <alignment horizontal="left" vertical="top" wrapText="1"/>
    </xf>
    <xf numFmtId="0" fontId="3" fillId="0" borderId="14" xfId="1" applyBorder="1" applyAlignment="1">
      <alignment horizontal="left" vertical="top" wrapText="1"/>
    </xf>
    <xf numFmtId="0" fontId="3" fillId="0" borderId="15" xfId="1" applyBorder="1" applyAlignment="1">
      <alignment horizontal="left" vertical="top" wrapText="1"/>
    </xf>
    <xf numFmtId="0" fontId="3" fillId="0" borderId="0" xfId="1" applyAlignment="1">
      <alignment horizontal="left" vertical="top" wrapText="1"/>
    </xf>
    <xf numFmtId="0" fontId="3" fillId="0" borderId="16" xfId="1" applyBorder="1" applyAlignment="1">
      <alignment horizontal="left" vertical="top" wrapText="1"/>
    </xf>
    <xf numFmtId="0" fontId="3" fillId="0" borderId="17" xfId="1" applyBorder="1" applyAlignment="1">
      <alignment horizontal="left" vertical="top" wrapText="1"/>
    </xf>
    <xf numFmtId="0" fontId="3" fillId="0" borderId="18" xfId="1" applyBorder="1" applyAlignment="1">
      <alignment horizontal="left" vertical="top" wrapText="1"/>
    </xf>
    <xf numFmtId="0" fontId="3" fillId="0" borderId="19" xfId="1" applyBorder="1" applyAlignment="1">
      <alignment horizontal="left" vertical="top" wrapText="1"/>
    </xf>
    <xf numFmtId="0" fontId="4" fillId="0" borderId="20" xfId="1" applyFont="1" applyBorder="1" applyAlignment="1">
      <alignment horizontal="center"/>
    </xf>
    <xf numFmtId="0" fontId="4" fillId="0" borderId="21" xfId="1" applyFont="1" applyBorder="1" applyAlignment="1">
      <alignment horizontal="center"/>
    </xf>
    <xf numFmtId="0" fontId="4" fillId="0" borderId="22" xfId="1" applyFont="1" applyBorder="1" applyAlignment="1">
      <alignment horizontal="center"/>
    </xf>
    <xf numFmtId="0" fontId="3" fillId="4" borderId="20" xfId="1" applyFill="1" applyBorder="1" applyAlignment="1">
      <alignment horizontal="center"/>
    </xf>
    <xf numFmtId="0" fontId="3" fillId="4" borderId="21" xfId="1" applyFill="1" applyBorder="1" applyAlignment="1">
      <alignment horizontal="center"/>
    </xf>
    <xf numFmtId="0" fontId="3" fillId="3" borderId="20" xfId="1" applyFill="1" applyBorder="1" applyAlignment="1">
      <alignment horizontal="center"/>
    </xf>
    <xf numFmtId="0" fontId="3" fillId="3" borderId="21" xfId="1" applyFill="1" applyBorder="1" applyAlignment="1">
      <alignment horizontal="center"/>
    </xf>
    <xf numFmtId="0" fontId="3" fillId="3" borderId="22" xfId="1" applyFill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4" fillId="0" borderId="0" xfId="1" applyFont="1" applyBorder="1" applyAlignment="1">
      <alignment horizontal="right"/>
    </xf>
    <xf numFmtId="166" fontId="4" fillId="0" borderId="0" xfId="1" applyNumberFormat="1" applyFont="1" applyBorder="1"/>
    <xf numFmtId="166" fontId="11" fillId="0" borderId="0" xfId="0" applyNumberFormat="1" applyFont="1" applyBorder="1"/>
  </cellXfs>
  <cellStyles count="25">
    <cellStyle name="Comma" xfId="24" builtinId="3"/>
    <cellStyle name="Comma 2" xfId="3" xr:uid="{00000000-0005-0000-0000-000000000000}"/>
    <cellStyle name="Comma 2 2" xfId="4" xr:uid="{00000000-0005-0000-0000-000001000000}"/>
    <cellStyle name="Comma 3" xfId="5" xr:uid="{00000000-0005-0000-0000-000002000000}"/>
    <cellStyle name="Comma 4" xfId="6" xr:uid="{00000000-0005-0000-0000-000003000000}"/>
    <cellStyle name="Currency" xfId="23" builtinId="4"/>
    <cellStyle name="Currency 2" xfId="7" xr:uid="{00000000-0005-0000-0000-000005000000}"/>
    <cellStyle name="Currency 2 2" xfId="8" xr:uid="{00000000-0005-0000-0000-000006000000}"/>
    <cellStyle name="Currency 2 3" xfId="9" xr:uid="{00000000-0005-0000-0000-000007000000}"/>
    <cellStyle name="Currency 3" xfId="10" xr:uid="{00000000-0005-0000-0000-000008000000}"/>
    <cellStyle name="Currency 4" xfId="2" xr:uid="{00000000-0005-0000-0000-000009000000}"/>
    <cellStyle name="Currency 5" xfId="11" xr:uid="{00000000-0005-0000-0000-00000A000000}"/>
    <cellStyle name="Currency 6" xfId="12" xr:uid="{00000000-0005-0000-0000-00000B000000}"/>
    <cellStyle name="Normal" xfId="0" builtinId="0"/>
    <cellStyle name="Normal 2" xfId="13" xr:uid="{00000000-0005-0000-0000-00000D000000}"/>
    <cellStyle name="Normal 2 2" xfId="14" xr:uid="{00000000-0005-0000-0000-00000E000000}"/>
    <cellStyle name="Normal 2 2 2" xfId="15" xr:uid="{00000000-0005-0000-0000-00000F000000}"/>
    <cellStyle name="Normal 2 3" xfId="16" xr:uid="{00000000-0005-0000-0000-000010000000}"/>
    <cellStyle name="Normal 3" xfId="17" xr:uid="{00000000-0005-0000-0000-000011000000}"/>
    <cellStyle name="Normal 3 2" xfId="1" xr:uid="{00000000-0005-0000-0000-000012000000}"/>
    <cellStyle name="Normal 5" xfId="18" xr:uid="{00000000-0005-0000-0000-000013000000}"/>
    <cellStyle name="Percent" xfId="22" builtinId="5"/>
    <cellStyle name="Percent 2" xfId="19" xr:uid="{00000000-0005-0000-0000-000015000000}"/>
    <cellStyle name="Percent 2 2" xfId="20" xr:uid="{00000000-0005-0000-0000-000016000000}"/>
    <cellStyle name="Percent 3" xfId="21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arcia,Anna M" id="{85224889-4287-4EF8-A731-5EA890D55412}" userId="S::AGarcia@mwdh2o.com::10b42068-3b60-437a-ab11-30ac85535402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9" dT="2024-01-24T19:19:18.17" personId="{85224889-4287-4EF8-A731-5EA890D55412}" id="{AD73844F-7122-4364-B952-3FAE0FA67368}">
    <text>assume reported value is in dollars for that first year of operation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J13" dT="2024-01-24T19:42:30.60" personId="{85224889-4287-4EF8-A731-5EA890D55412}" id="{C86354CD-000D-48DB-A59A-CBACB2717B6B}">
    <text>bring to 2024 present worth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H13" dT="2024-01-24T19:44:59.43" personId="{85224889-4287-4EF8-A731-5EA890D55412}" id="{E54915A2-B052-4ABD-841F-4BA1A047F75F}">
    <text>bring to 2024 present worth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44"/>
  <sheetViews>
    <sheetView zoomScale="80" zoomScaleNormal="80" workbookViewId="0">
      <selection activeCell="F9" sqref="F9"/>
    </sheetView>
  </sheetViews>
  <sheetFormatPr defaultColWidth="10.28515625" defaultRowHeight="15.75" x14ac:dyDescent="0.25"/>
  <cols>
    <col min="1" max="1" width="5.5703125" style="2" customWidth="1"/>
    <col min="2" max="2" width="8.28515625" style="2" customWidth="1"/>
    <col min="3" max="4" width="14.7109375" style="2" customWidth="1"/>
    <col min="5" max="5" width="9.28515625" style="2" customWidth="1"/>
    <col min="6" max="6" width="17.42578125" style="2" customWidth="1"/>
    <col min="7" max="7" width="13" style="15" customWidth="1"/>
    <col min="8" max="8" width="15.7109375" style="2" bestFit="1" customWidth="1"/>
    <col min="9" max="9" width="17.5703125" style="2" bestFit="1" customWidth="1"/>
    <col min="10" max="10" width="17" style="2" bestFit="1" customWidth="1"/>
    <col min="11" max="11" width="9" style="2" bestFit="1" customWidth="1"/>
    <col min="12" max="12" width="18.28515625" style="2" bestFit="1" customWidth="1"/>
    <col min="13" max="13" width="21.28515625" style="2" bestFit="1" customWidth="1"/>
    <col min="14" max="16384" width="10.28515625" style="2"/>
  </cols>
  <sheetData>
    <row r="1" spans="2:13" ht="18" customHeight="1" x14ac:dyDescent="0.25"/>
    <row r="2" spans="2:13" ht="18" customHeight="1" x14ac:dyDescent="0.25">
      <c r="B2" s="71" t="s">
        <v>0</v>
      </c>
      <c r="C2" s="55"/>
      <c r="D2" s="55"/>
      <c r="E2" s="55"/>
      <c r="F2" s="55"/>
      <c r="G2" s="55"/>
      <c r="H2" s="47"/>
      <c r="I2" s="47"/>
      <c r="J2" s="47"/>
      <c r="K2" s="47"/>
      <c r="L2" s="47"/>
    </row>
    <row r="3" spans="2:13" ht="18" customHeight="1" x14ac:dyDescent="0.25">
      <c r="B3" s="72" t="s">
        <v>1</v>
      </c>
      <c r="C3" s="56"/>
      <c r="D3" s="56"/>
      <c r="E3" s="56"/>
      <c r="F3" s="73"/>
      <c r="G3" s="57"/>
    </row>
    <row r="4" spans="2:13" ht="18" customHeight="1" x14ac:dyDescent="0.25">
      <c r="B4" s="58">
        <v>1</v>
      </c>
      <c r="C4" s="59" t="s">
        <v>2</v>
      </c>
      <c r="D4" s="59"/>
      <c r="E4" s="59"/>
      <c r="F4" s="74">
        <v>2370</v>
      </c>
      <c r="G4" s="60" t="s">
        <v>3</v>
      </c>
    </row>
    <row r="5" spans="2:13" ht="18" customHeight="1" x14ac:dyDescent="0.25">
      <c r="B5" s="58">
        <f>B4+1</f>
        <v>2</v>
      </c>
      <c r="C5" s="59" t="s">
        <v>4</v>
      </c>
      <c r="D5" s="59"/>
      <c r="E5" s="59"/>
      <c r="F5" s="74">
        <v>246000000</v>
      </c>
      <c r="G5" s="60" t="s">
        <v>5</v>
      </c>
    </row>
    <row r="6" spans="2:13" ht="18" customHeight="1" x14ac:dyDescent="0.25">
      <c r="B6" s="58">
        <f t="shared" ref="B6:B10" si="0">B5+1</f>
        <v>3</v>
      </c>
      <c r="C6" s="59" t="s">
        <v>6</v>
      </c>
      <c r="D6" s="59"/>
      <c r="E6" s="59"/>
      <c r="F6" s="81">
        <v>2.7199999999999998E-2</v>
      </c>
      <c r="G6" s="60" t="s">
        <v>7</v>
      </c>
    </row>
    <row r="7" spans="2:13" ht="18" customHeight="1" x14ac:dyDescent="0.25">
      <c r="B7" s="58">
        <f t="shared" si="0"/>
        <v>4</v>
      </c>
      <c r="C7" s="59" t="s">
        <v>8</v>
      </c>
      <c r="D7" s="59"/>
      <c r="E7" s="59"/>
      <c r="F7" s="74">
        <v>30</v>
      </c>
      <c r="G7" s="60" t="s">
        <v>9</v>
      </c>
    </row>
    <row r="8" spans="2:13" ht="18" customHeight="1" x14ac:dyDescent="0.25">
      <c r="B8" s="58">
        <f t="shared" si="0"/>
        <v>5</v>
      </c>
      <c r="C8" s="59" t="s">
        <v>10</v>
      </c>
      <c r="D8" s="59"/>
      <c r="E8" s="59"/>
      <c r="F8" s="75">
        <f>IFERROR(PMT(F6,F7,-F5),0)</f>
        <v>12100768.640900558</v>
      </c>
      <c r="G8" s="60" t="s">
        <v>11</v>
      </c>
      <c r="H8" s="41"/>
      <c r="I8" s="4"/>
    </row>
    <row r="9" spans="2:13" ht="18" customHeight="1" x14ac:dyDescent="0.25">
      <c r="B9" s="58">
        <f t="shared" si="0"/>
        <v>6</v>
      </c>
      <c r="C9" s="59" t="s">
        <v>12</v>
      </c>
      <c r="D9" s="59"/>
      <c r="E9" s="59"/>
      <c r="F9" s="74">
        <v>200000</v>
      </c>
      <c r="G9" s="60" t="s">
        <v>13</v>
      </c>
      <c r="H9" s="41"/>
      <c r="I9" s="4"/>
    </row>
    <row r="10" spans="2:13" ht="18" customHeight="1" x14ac:dyDescent="0.25">
      <c r="B10" s="58">
        <f t="shared" si="0"/>
        <v>7</v>
      </c>
      <c r="C10" s="59" t="s">
        <v>14</v>
      </c>
      <c r="D10" s="59"/>
      <c r="E10" s="59"/>
      <c r="F10" s="76">
        <v>0.03</v>
      </c>
      <c r="G10" s="60"/>
      <c r="H10" s="4"/>
      <c r="I10" s="4"/>
    </row>
    <row r="11" spans="2:13" ht="18" customHeight="1" x14ac:dyDescent="0.25">
      <c r="B11" s="61">
        <v>8</v>
      </c>
      <c r="C11" s="62" t="s">
        <v>61</v>
      </c>
      <c r="D11" s="62"/>
      <c r="E11" s="62"/>
      <c r="F11" s="82">
        <v>2029</v>
      </c>
      <c r="G11" s="5"/>
      <c r="H11" s="4"/>
      <c r="I11" s="4"/>
    </row>
    <row r="12" spans="2:13" customFormat="1" ht="18" customHeight="1" x14ac:dyDescent="0.25"/>
    <row r="13" spans="2:13" ht="18" customHeight="1" x14ac:dyDescent="0.3">
      <c r="B13" s="63"/>
      <c r="C13" s="94" t="s">
        <v>15</v>
      </c>
      <c r="D13" s="94"/>
      <c r="E13" s="48"/>
      <c r="H13" s="89" t="s">
        <v>16</v>
      </c>
      <c r="I13" s="89"/>
      <c r="J13" s="89"/>
      <c r="K13" s="89"/>
      <c r="L13" s="89"/>
      <c r="M13" s="89"/>
    </row>
    <row r="14" spans="2:13" ht="18" customHeight="1" x14ac:dyDescent="0.25">
      <c r="C14" s="64" t="s">
        <v>17</v>
      </c>
      <c r="D14" s="65" t="s">
        <v>18</v>
      </c>
      <c r="E14" s="69" t="s">
        <v>19</v>
      </c>
      <c r="H14" s="90" t="s">
        <v>20</v>
      </c>
      <c r="I14" s="92" t="s">
        <v>21</v>
      </c>
      <c r="J14" s="42" t="s">
        <v>22</v>
      </c>
      <c r="K14" s="42" t="s">
        <v>23</v>
      </c>
      <c r="L14" s="42" t="s">
        <v>24</v>
      </c>
      <c r="M14" s="42" t="s">
        <v>25</v>
      </c>
    </row>
    <row r="15" spans="2:13" ht="18" customHeight="1" x14ac:dyDescent="0.25">
      <c r="B15" s="68" cm="1">
        <f t="array" ref="B15">IFERROR(_xlfn.IFS(C15&lt;$F$11,0,C15=$F$11,1,C15&lt;$F$11+25,B14+1),0)</f>
        <v>0</v>
      </c>
      <c r="C15" s="66">
        <v>2024</v>
      </c>
      <c r="D15" s="74">
        <v>0</v>
      </c>
      <c r="E15" s="70">
        <v>1279</v>
      </c>
      <c r="F15" s="67" t="str">
        <f>IF(C15=$F$11,"First year of operation","")</f>
        <v/>
      </c>
      <c r="H15" s="91"/>
      <c r="I15" s="93"/>
      <c r="J15" s="42" t="s">
        <v>26</v>
      </c>
      <c r="K15" s="42" t="s">
        <v>27</v>
      </c>
      <c r="L15" s="42" t="s">
        <v>28</v>
      </c>
      <c r="M15" s="42" t="s">
        <v>28</v>
      </c>
    </row>
    <row r="16" spans="2:13" ht="18" customHeight="1" x14ac:dyDescent="0.3">
      <c r="B16" s="68" cm="1">
        <f t="array" ref="B16">IFERROR(_xlfn.IFS(C16&lt;$F$11,0,C16=$F$11,1,C16&lt;$F$11+25,B15+1),0)</f>
        <v>0</v>
      </c>
      <c r="C16" s="66">
        <f t="shared" ref="C16:C44" si="1">+C15+1</f>
        <v>2025</v>
      </c>
      <c r="D16" s="74">
        <v>0</v>
      </c>
      <c r="E16" s="70">
        <v>1380</v>
      </c>
      <c r="F16" s="67" t="str">
        <f t="shared" ref="F16:F43" si="2">IF(C16=$F$11,"First year of operation","")</f>
        <v/>
      </c>
      <c r="H16" s="42" t="s">
        <v>29</v>
      </c>
      <c r="I16" s="43" t="s">
        <v>30</v>
      </c>
      <c r="J16" s="77">
        <f>MAX('$340 over 25 yrs'!H15:H43)</f>
        <v>340</v>
      </c>
      <c r="K16" s="42">
        <v>25</v>
      </c>
      <c r="L16" s="78">
        <f>'$340 over 25 yrs'!I46</f>
        <v>20145000</v>
      </c>
      <c r="M16" s="78">
        <f>'$340 over 25 yrs'!J46</f>
        <v>10760507.679316279</v>
      </c>
    </row>
    <row r="17" spans="2:13" ht="18" customHeight="1" x14ac:dyDescent="0.3">
      <c r="B17" s="68" cm="1">
        <f t="array" ref="B17">IFERROR(_xlfn.IFS(C17&lt;$F$11,0,C17=$F$11,1,C17&lt;$F$11+25,B16+1),0)</f>
        <v>0</v>
      </c>
      <c r="C17" s="66">
        <f t="shared" si="1"/>
        <v>2026</v>
      </c>
      <c r="D17" s="74">
        <v>0</v>
      </c>
      <c r="E17" s="80">
        <v>1473</v>
      </c>
      <c r="F17" s="67" t="str">
        <f t="shared" si="2"/>
        <v/>
      </c>
      <c r="H17" s="42" t="s">
        <v>31</v>
      </c>
      <c r="I17" s="43" t="s">
        <v>30</v>
      </c>
      <c r="J17" s="77">
        <f>MAX('$475 over 15 yrs'!H15:H43)</f>
        <v>475</v>
      </c>
      <c r="K17" s="42">
        <v>15</v>
      </c>
      <c r="L17" s="78">
        <f>'$475 over 15 yrs'!I44</f>
        <v>16886250</v>
      </c>
      <c r="M17" s="78">
        <f>'$475 over 15 yrs'!J44</f>
        <v>10699177.729454113</v>
      </c>
    </row>
    <row r="18" spans="2:13" ht="18" customHeight="1" x14ac:dyDescent="0.3">
      <c r="B18" s="68" cm="1">
        <f t="array" ref="B18">IFERROR(_xlfn.IFS(C18&lt;$F$11,0,C18=$F$11,1,C18&lt;$F$11+25,B17+1),0)</f>
        <v>0</v>
      </c>
      <c r="C18" s="66">
        <f t="shared" si="1"/>
        <v>2027</v>
      </c>
      <c r="D18" s="74">
        <v>0</v>
      </c>
      <c r="E18" s="80">
        <v>1565</v>
      </c>
      <c r="F18" s="67" t="str">
        <f t="shared" si="2"/>
        <v/>
      </c>
      <c r="H18" s="42" t="s">
        <v>32</v>
      </c>
      <c r="I18" s="43" t="s">
        <v>33</v>
      </c>
      <c r="J18" s="77">
        <f>MAX('$305 fix over 25 yrs'!J15:J43)</f>
        <v>305</v>
      </c>
      <c r="K18" s="42">
        <v>25</v>
      </c>
      <c r="L18" s="78">
        <f>'$305 fix over 25 yrs'!K45</f>
        <v>18071250</v>
      </c>
      <c r="M18" s="78">
        <f>'$305 fix over 25 yrs'!L45</f>
        <v>9652808.359386662</v>
      </c>
    </row>
    <row r="19" spans="2:13" ht="18" customHeight="1" x14ac:dyDescent="0.25">
      <c r="B19" s="68" cm="1">
        <f t="array" ref="B19">IFERROR(_xlfn.IFS(C19&lt;$F$11,0,C19=$F$11,1,C19&lt;$F$11+25,B18+1),0)</f>
        <v>0</v>
      </c>
      <c r="C19" s="66">
        <f t="shared" si="1"/>
        <v>2028</v>
      </c>
      <c r="D19" s="74">
        <v>0</v>
      </c>
      <c r="E19" s="80">
        <v>1648</v>
      </c>
      <c r="F19" s="67" t="str">
        <f t="shared" si="2"/>
        <v/>
      </c>
      <c r="H19" s="2" t="s">
        <v>34</v>
      </c>
    </row>
    <row r="20" spans="2:13" ht="18" customHeight="1" x14ac:dyDescent="0.25">
      <c r="B20" s="68" cm="1">
        <f t="array" ref="B20">IFERROR(_xlfn.IFS(C20&lt;$F$11,0,C20=$F$11,1,C20&lt;$F$11+25,B19+1),0)</f>
        <v>1</v>
      </c>
      <c r="C20" s="66">
        <f t="shared" si="1"/>
        <v>2029</v>
      </c>
      <c r="D20" s="74">
        <v>2370</v>
      </c>
      <c r="E20" s="80">
        <v>1739</v>
      </c>
      <c r="F20" s="67" t="str">
        <f t="shared" si="2"/>
        <v>First year of operation</v>
      </c>
      <c r="H20" s="2" t="s">
        <v>35</v>
      </c>
    </row>
    <row r="21" spans="2:13" ht="18" customHeight="1" x14ac:dyDescent="0.25">
      <c r="B21" s="68" cm="1">
        <f t="array" ref="B21">IFERROR(_xlfn.IFS(C21&lt;$F$11,0,C21=$F$11,1,C21&lt;$F$11+25,B20+1),0)</f>
        <v>2</v>
      </c>
      <c r="C21" s="66">
        <f t="shared" si="1"/>
        <v>2030</v>
      </c>
      <c r="D21" s="74">
        <f>D20</f>
        <v>2370</v>
      </c>
      <c r="E21" s="80">
        <v>1816</v>
      </c>
      <c r="F21" s="67" t="str">
        <f t="shared" si="2"/>
        <v/>
      </c>
      <c r="H21" s="2" t="s">
        <v>36</v>
      </c>
    </row>
    <row r="22" spans="2:13" ht="18" customHeight="1" x14ac:dyDescent="0.25">
      <c r="B22" s="68" cm="1">
        <f t="array" ref="B22">IFERROR(_xlfn.IFS(C22&lt;$F$11,0,C22=$F$11,1,C22&lt;$F$11+25,B21+1),0)</f>
        <v>3</v>
      </c>
      <c r="C22" s="66">
        <f t="shared" si="1"/>
        <v>2031</v>
      </c>
      <c r="D22" s="74">
        <f t="shared" ref="D22:D44" si="3">D21</f>
        <v>2370</v>
      </c>
      <c r="E22" s="80">
        <v>1903</v>
      </c>
      <c r="F22" s="67" t="str">
        <f t="shared" si="2"/>
        <v/>
      </c>
    </row>
    <row r="23" spans="2:13" ht="18" customHeight="1" x14ac:dyDescent="0.25">
      <c r="B23" s="68" cm="1">
        <f t="array" ref="B23">IFERROR(_xlfn.IFS(C23&lt;$F$11,0,C23=$F$11,1,C23&lt;$F$11+25,B22+1),0)</f>
        <v>4</v>
      </c>
      <c r="C23" s="66">
        <f t="shared" si="1"/>
        <v>2032</v>
      </c>
      <c r="D23" s="74">
        <f t="shared" si="3"/>
        <v>2370</v>
      </c>
      <c r="E23" s="80">
        <v>1985</v>
      </c>
      <c r="F23" s="67" t="str">
        <f t="shared" si="2"/>
        <v/>
      </c>
    </row>
    <row r="24" spans="2:13" ht="18" customHeight="1" x14ac:dyDescent="0.25">
      <c r="B24" s="68" cm="1">
        <f t="array" ref="B24">IFERROR(_xlfn.IFS(C24&lt;$F$11,0,C24=$F$11,1,C24&lt;$F$11+25,B23+1),0)</f>
        <v>5</v>
      </c>
      <c r="C24" s="66">
        <f t="shared" si="1"/>
        <v>2033</v>
      </c>
      <c r="D24" s="74">
        <f t="shared" si="3"/>
        <v>2370</v>
      </c>
      <c r="E24" s="80">
        <v>2045</v>
      </c>
      <c r="F24" s="67" t="str">
        <f t="shared" si="2"/>
        <v/>
      </c>
    </row>
    <row r="25" spans="2:13" ht="18" customHeight="1" x14ac:dyDescent="0.25">
      <c r="B25" s="68" cm="1">
        <f t="array" ref="B25">IFERROR(_xlfn.IFS(C25&lt;$F$11,0,C25=$F$11,1,C25&lt;$F$11+25,B24+1),0)</f>
        <v>6</v>
      </c>
      <c r="C25" s="66">
        <f t="shared" si="1"/>
        <v>2034</v>
      </c>
      <c r="D25" s="74">
        <f t="shared" si="3"/>
        <v>2370</v>
      </c>
      <c r="E25" s="80">
        <v>2106</v>
      </c>
      <c r="F25" s="67" t="str">
        <f t="shared" si="2"/>
        <v/>
      </c>
    </row>
    <row r="26" spans="2:13" ht="18" customHeight="1" x14ac:dyDescent="0.25">
      <c r="B26" s="68" cm="1">
        <f t="array" ref="B26">IFERROR(_xlfn.IFS(C26&lt;$F$11,0,C26=$F$11,1,C26&lt;$F$11+25,B25+1),0)</f>
        <v>7</v>
      </c>
      <c r="C26" s="66">
        <f t="shared" si="1"/>
        <v>2035</v>
      </c>
      <c r="D26" s="74">
        <f t="shared" si="3"/>
        <v>2370</v>
      </c>
      <c r="E26" s="80">
        <v>2169</v>
      </c>
      <c r="F26" s="67" t="str">
        <f t="shared" si="2"/>
        <v/>
      </c>
    </row>
    <row r="27" spans="2:13" ht="18" customHeight="1" x14ac:dyDescent="0.25">
      <c r="B27" s="68" cm="1">
        <f t="array" ref="B27">IFERROR(_xlfn.IFS(C27&lt;$F$11,0,C27=$F$11,1,C27&lt;$F$11+25,B26+1),0)</f>
        <v>8</v>
      </c>
      <c r="C27" s="66">
        <f t="shared" si="1"/>
        <v>2036</v>
      </c>
      <c r="D27" s="74">
        <f t="shared" si="3"/>
        <v>2370</v>
      </c>
      <c r="E27" s="80">
        <v>2234</v>
      </c>
      <c r="F27" s="67" t="str">
        <f t="shared" si="2"/>
        <v/>
      </c>
    </row>
    <row r="28" spans="2:13" ht="18" customHeight="1" x14ac:dyDescent="0.25">
      <c r="B28" s="68" cm="1">
        <f t="array" ref="B28">IFERROR(_xlfn.IFS(C28&lt;$F$11,0,C28=$F$11,1,C28&lt;$F$11+25,B27+1),0)</f>
        <v>9</v>
      </c>
      <c r="C28" s="66">
        <f t="shared" si="1"/>
        <v>2037</v>
      </c>
      <c r="D28" s="74">
        <f t="shared" si="3"/>
        <v>2370</v>
      </c>
      <c r="E28" s="80">
        <v>2301</v>
      </c>
      <c r="F28" s="67" t="str">
        <f t="shared" si="2"/>
        <v/>
      </c>
    </row>
    <row r="29" spans="2:13" ht="18" customHeight="1" x14ac:dyDescent="0.25">
      <c r="B29" s="68" cm="1">
        <f t="array" ref="B29">IFERROR(_xlfn.IFS(C29&lt;$F$11,0,C29=$F$11,1,C29&lt;$F$11+25,B28+1),0)</f>
        <v>10</v>
      </c>
      <c r="C29" s="66">
        <f t="shared" si="1"/>
        <v>2038</v>
      </c>
      <c r="D29" s="74">
        <f t="shared" si="3"/>
        <v>2370</v>
      </c>
      <c r="E29" s="80">
        <v>2370</v>
      </c>
      <c r="F29" s="67" t="str">
        <f t="shared" si="2"/>
        <v/>
      </c>
    </row>
    <row r="30" spans="2:13" ht="18" customHeight="1" x14ac:dyDescent="0.25">
      <c r="B30" s="68" cm="1">
        <f t="array" ref="B30">IFERROR(_xlfn.IFS(C30&lt;$F$11,0,C30=$F$11,1,C30&lt;$F$11+25,B29+1),0)</f>
        <v>11</v>
      </c>
      <c r="C30" s="66">
        <f t="shared" si="1"/>
        <v>2039</v>
      </c>
      <c r="D30" s="74">
        <f t="shared" si="3"/>
        <v>2370</v>
      </c>
      <c r="E30" s="80">
        <v>2441</v>
      </c>
      <c r="F30" s="67" t="str">
        <f t="shared" si="2"/>
        <v/>
      </c>
    </row>
    <row r="31" spans="2:13" ht="18" customHeight="1" x14ac:dyDescent="0.25">
      <c r="B31" s="68" cm="1">
        <f t="array" ref="B31">IFERROR(_xlfn.IFS(C31&lt;$F$11,0,C31=$F$11,1,C31&lt;$F$11+25,B30+1),0)</f>
        <v>12</v>
      </c>
      <c r="C31" s="66">
        <f t="shared" si="1"/>
        <v>2040</v>
      </c>
      <c r="D31" s="74">
        <f t="shared" si="3"/>
        <v>2370</v>
      </c>
      <c r="E31" s="80">
        <v>2514</v>
      </c>
      <c r="F31" s="67" t="str">
        <f t="shared" si="2"/>
        <v/>
      </c>
    </row>
    <row r="32" spans="2:13" ht="18" customHeight="1" x14ac:dyDescent="0.25">
      <c r="B32" s="68" cm="1">
        <f t="array" ref="B32">IFERROR(_xlfn.IFS(C32&lt;$F$11,0,C32=$F$11,1,C32&lt;$F$11+25,B31+1),0)</f>
        <v>13</v>
      </c>
      <c r="C32" s="66">
        <f t="shared" si="1"/>
        <v>2041</v>
      </c>
      <c r="D32" s="74">
        <f t="shared" si="3"/>
        <v>2370</v>
      </c>
      <c r="E32" s="80">
        <v>2589</v>
      </c>
      <c r="F32" s="67" t="str">
        <f t="shared" si="2"/>
        <v/>
      </c>
    </row>
    <row r="33" spans="2:6" ht="18" customHeight="1" x14ac:dyDescent="0.25">
      <c r="B33" s="68" cm="1">
        <f t="array" ref="B33">IFERROR(_xlfn.IFS(C33&lt;$F$11,0,C33=$F$11,1,C33&lt;$F$11+25,B32+1),0)</f>
        <v>14</v>
      </c>
      <c r="C33" s="66">
        <f t="shared" si="1"/>
        <v>2042</v>
      </c>
      <c r="D33" s="74">
        <f t="shared" si="3"/>
        <v>2370</v>
      </c>
      <c r="E33" s="80">
        <v>2667</v>
      </c>
      <c r="F33" s="67" t="str">
        <f t="shared" si="2"/>
        <v/>
      </c>
    </row>
    <row r="34" spans="2:6" ht="18" customHeight="1" x14ac:dyDescent="0.25">
      <c r="B34" s="68" cm="1">
        <f t="array" ref="B34">IFERROR(_xlfn.IFS(C34&lt;$F$11,0,C34=$F$11,1,C34&lt;$F$11+25,B33+1),0)</f>
        <v>15</v>
      </c>
      <c r="C34" s="66">
        <f t="shared" si="1"/>
        <v>2043</v>
      </c>
      <c r="D34" s="74">
        <f t="shared" si="3"/>
        <v>2370</v>
      </c>
      <c r="E34" s="80">
        <v>2747</v>
      </c>
      <c r="F34" s="67" t="str">
        <f t="shared" si="2"/>
        <v/>
      </c>
    </row>
    <row r="35" spans="2:6" ht="18" customHeight="1" x14ac:dyDescent="0.25">
      <c r="B35" s="68" cm="1">
        <f t="array" ref="B35">IFERROR(_xlfn.IFS(C35&lt;$F$11,0,C35=$F$11,1,C35&lt;$F$11+25,B34+1),0)</f>
        <v>16</v>
      </c>
      <c r="C35" s="66">
        <f t="shared" si="1"/>
        <v>2044</v>
      </c>
      <c r="D35" s="74">
        <f t="shared" si="3"/>
        <v>2370</v>
      </c>
      <c r="E35" s="80">
        <v>2829</v>
      </c>
      <c r="F35" s="67" t="str">
        <f t="shared" si="2"/>
        <v/>
      </c>
    </row>
    <row r="36" spans="2:6" ht="18" customHeight="1" x14ac:dyDescent="0.25">
      <c r="B36" s="68" cm="1">
        <f t="array" ref="B36">IFERROR(_xlfn.IFS(C36&lt;$F$11,0,C36=$F$11,1,C36&lt;$F$11+25,B35+1),0)</f>
        <v>17</v>
      </c>
      <c r="C36" s="66">
        <f t="shared" si="1"/>
        <v>2045</v>
      </c>
      <c r="D36" s="74">
        <f t="shared" si="3"/>
        <v>2370</v>
      </c>
      <c r="E36" s="80">
        <v>2914</v>
      </c>
      <c r="F36" s="67" t="str">
        <f t="shared" si="2"/>
        <v/>
      </c>
    </row>
    <row r="37" spans="2:6" ht="18" customHeight="1" x14ac:dyDescent="0.25">
      <c r="B37" s="68" cm="1">
        <f t="array" ref="B37">IFERROR(_xlfn.IFS(C37&lt;$F$11,0,C37=$F$11,1,C37&lt;$F$11+25,B36+1),0)</f>
        <v>18</v>
      </c>
      <c r="C37" s="66">
        <f t="shared" si="1"/>
        <v>2046</v>
      </c>
      <c r="D37" s="74">
        <f t="shared" si="3"/>
        <v>2370</v>
      </c>
      <c r="E37" s="80">
        <v>3001</v>
      </c>
      <c r="F37" s="67" t="str">
        <f t="shared" si="2"/>
        <v/>
      </c>
    </row>
    <row r="38" spans="2:6" ht="18" customHeight="1" x14ac:dyDescent="0.25">
      <c r="B38" s="68" cm="1">
        <f t="array" ref="B38">IFERROR(_xlfn.IFS(C38&lt;$F$11,0,C38=$F$11,1,C38&lt;$F$11+25,B37+1),0)</f>
        <v>19</v>
      </c>
      <c r="C38" s="66">
        <f t="shared" si="1"/>
        <v>2047</v>
      </c>
      <c r="D38" s="74">
        <f t="shared" si="3"/>
        <v>2370</v>
      </c>
      <c r="E38" s="80">
        <v>3091</v>
      </c>
      <c r="F38" s="67" t="str">
        <f t="shared" si="2"/>
        <v/>
      </c>
    </row>
    <row r="39" spans="2:6" ht="18" customHeight="1" x14ac:dyDescent="0.25">
      <c r="B39" s="68" cm="1">
        <f t="array" ref="B39">IFERROR(_xlfn.IFS(C39&lt;$F$11,0,C39=$F$11,1,C39&lt;$F$11+25,B38+1),0)</f>
        <v>20</v>
      </c>
      <c r="C39" s="66">
        <f t="shared" si="1"/>
        <v>2048</v>
      </c>
      <c r="D39" s="74">
        <f t="shared" si="3"/>
        <v>2370</v>
      </c>
      <c r="E39" s="80">
        <v>3184</v>
      </c>
      <c r="F39" s="67" t="str">
        <f t="shared" si="2"/>
        <v/>
      </c>
    </row>
    <row r="40" spans="2:6" ht="18" customHeight="1" x14ac:dyDescent="0.25">
      <c r="B40" s="68" cm="1">
        <f t="array" ref="B40">IFERROR(_xlfn.IFS(C40&lt;$F$11,0,C40=$F$11,1,C40&lt;$F$11+25,B39+1),0)</f>
        <v>21</v>
      </c>
      <c r="C40" s="66">
        <f t="shared" si="1"/>
        <v>2049</v>
      </c>
      <c r="D40" s="74">
        <f t="shared" si="3"/>
        <v>2370</v>
      </c>
      <c r="E40" s="80">
        <f>E39*1.03</f>
        <v>3279.52</v>
      </c>
      <c r="F40" s="67" t="str">
        <f t="shared" si="2"/>
        <v/>
      </c>
    </row>
    <row r="41" spans="2:6" x14ac:dyDescent="0.25">
      <c r="B41" s="68" cm="1">
        <f t="array" ref="B41">IFERROR(_xlfn.IFS(C41&lt;$F$11,0,C41=$F$11,1,C41&lt;$F$11+25,B40+1),0)</f>
        <v>22</v>
      </c>
      <c r="C41" s="66">
        <f t="shared" si="1"/>
        <v>2050</v>
      </c>
      <c r="D41" s="74">
        <f t="shared" si="3"/>
        <v>2370</v>
      </c>
      <c r="E41" s="80">
        <f t="shared" ref="E41:E44" si="4">E40*1.03</f>
        <v>3377.9056</v>
      </c>
      <c r="F41" s="67" t="str">
        <f t="shared" si="2"/>
        <v/>
      </c>
    </row>
    <row r="42" spans="2:6" x14ac:dyDescent="0.25">
      <c r="B42" s="68" cm="1">
        <f t="array" ref="B42">IFERROR(_xlfn.IFS(C42&lt;$F$11,0,C42=$F$11,1,C42&lt;$F$11+25,B41+1),0)</f>
        <v>23</v>
      </c>
      <c r="C42" s="66">
        <f t="shared" si="1"/>
        <v>2051</v>
      </c>
      <c r="D42" s="74">
        <f t="shared" si="3"/>
        <v>2370</v>
      </c>
      <c r="E42" s="80">
        <f t="shared" si="4"/>
        <v>3479.2427680000001</v>
      </c>
      <c r="F42" s="67" t="str">
        <f t="shared" si="2"/>
        <v/>
      </c>
    </row>
    <row r="43" spans="2:6" x14ac:dyDescent="0.25">
      <c r="B43" s="68" cm="1">
        <f t="array" ref="B43">IFERROR(_xlfn.IFS(C43&lt;$F$11,0,C43=$F$11,1,C43&lt;$F$11+25,B42+1),0)</f>
        <v>24</v>
      </c>
      <c r="C43" s="66">
        <f t="shared" si="1"/>
        <v>2052</v>
      </c>
      <c r="D43" s="74">
        <f t="shared" si="3"/>
        <v>2370</v>
      </c>
      <c r="E43" s="80">
        <f t="shared" si="4"/>
        <v>3583.6200510400004</v>
      </c>
      <c r="F43" s="67" t="str">
        <f t="shared" si="2"/>
        <v/>
      </c>
    </row>
    <row r="44" spans="2:6" x14ac:dyDescent="0.25">
      <c r="B44" s="68" cm="1">
        <f t="array" ref="B44">IFERROR(_xlfn.IFS(C44&lt;$F$11,0,C44=$F$11,1,C44&lt;$F$11+25,B43+1),0)</f>
        <v>25</v>
      </c>
      <c r="C44" s="66">
        <f t="shared" si="1"/>
        <v>2053</v>
      </c>
      <c r="D44" s="74">
        <f t="shared" si="3"/>
        <v>2370</v>
      </c>
      <c r="E44" s="80">
        <f t="shared" si="4"/>
        <v>3691.1286525712003</v>
      </c>
    </row>
  </sheetData>
  <mergeCells count="4">
    <mergeCell ref="H13:M13"/>
    <mergeCell ref="H14:H15"/>
    <mergeCell ref="I14:I15"/>
    <mergeCell ref="C13:D13"/>
  </mergeCells>
  <printOptions horizontalCentered="1" verticalCentered="1"/>
  <pageMargins left="0.45" right="0.45" top="0.5" bottom="0.5" header="0.3" footer="0.3"/>
  <pageSetup scale="67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0"/>
  <sheetViews>
    <sheetView topLeftCell="A6" zoomScale="80" zoomScaleNormal="80" workbookViewId="0">
      <selection activeCell="C51" sqref="C51"/>
    </sheetView>
  </sheetViews>
  <sheetFormatPr defaultColWidth="10.28515625" defaultRowHeight="15.75" x14ac:dyDescent="0.25"/>
  <cols>
    <col min="1" max="1" width="8.28515625" style="2" customWidth="1"/>
    <col min="2" max="2" width="11.5703125" style="2" customWidth="1"/>
    <col min="3" max="3" width="14" style="2" customWidth="1"/>
    <col min="4" max="4" width="23.28515625" style="2" bestFit="1" customWidth="1"/>
    <col min="5" max="5" width="15.28515625" style="2" customWidth="1"/>
    <col min="6" max="6" width="13" style="15" customWidth="1"/>
    <col min="7" max="7" width="17.42578125" style="2" customWidth="1"/>
    <col min="8" max="8" width="40.28515625" style="2" bestFit="1" customWidth="1"/>
    <col min="9" max="9" width="47.28515625" style="2" bestFit="1" customWidth="1"/>
    <col min="10" max="10" width="14" style="2" customWidth="1"/>
    <col min="11" max="16384" width="10.28515625" style="2"/>
  </cols>
  <sheetData>
    <row r="1" spans="1:10" ht="25.5" customHeight="1" thickBot="1" x14ac:dyDescent="0.3">
      <c r="A1" s="44" t="s">
        <v>37</v>
      </c>
      <c r="B1" s="1"/>
      <c r="C1" s="1"/>
      <c r="D1" s="1"/>
      <c r="E1" s="45"/>
      <c r="F1" s="1"/>
      <c r="G1" s="1"/>
    </row>
    <row r="2" spans="1:10" x14ac:dyDescent="0.25">
      <c r="A2" s="37" t="str">
        <f>Summary!B3</f>
        <v>Project Cost Data:</v>
      </c>
      <c r="B2" s="40"/>
      <c r="C2" s="38"/>
      <c r="D2" s="38"/>
      <c r="E2" s="39"/>
      <c r="F2" s="5"/>
      <c r="H2" s="4"/>
    </row>
    <row r="3" spans="1:10" x14ac:dyDescent="0.25">
      <c r="A3" s="3">
        <f>Summary!B4</f>
        <v>1</v>
      </c>
      <c r="B3" s="6" t="str">
        <f>Summary!C4</f>
        <v>Contract Yield (AFY) =</v>
      </c>
      <c r="C3" s="4"/>
      <c r="D3" s="4"/>
      <c r="E3" s="16">
        <f>Summary!F4</f>
        <v>2370</v>
      </c>
      <c r="F3" s="5"/>
      <c r="G3" s="96" t="s">
        <v>38</v>
      </c>
      <c r="H3" s="97"/>
      <c r="I3" s="97"/>
      <c r="J3" s="98"/>
    </row>
    <row r="4" spans="1:10" x14ac:dyDescent="0.25">
      <c r="A4" s="3">
        <f>Summary!B5</f>
        <v>2</v>
      </c>
      <c r="B4" s="6" t="str">
        <f>Summary!C5</f>
        <v>Capital Cost ($)</v>
      </c>
      <c r="C4" s="4"/>
      <c r="D4" s="6"/>
      <c r="E4" s="16">
        <f>Summary!F5</f>
        <v>246000000</v>
      </c>
      <c r="F4" s="5"/>
      <c r="G4" s="99"/>
      <c r="H4" s="100"/>
      <c r="I4" s="100"/>
      <c r="J4" s="101"/>
    </row>
    <row r="5" spans="1:10" x14ac:dyDescent="0.25">
      <c r="A5" s="3">
        <f>Summary!B6</f>
        <v>3</v>
      </c>
      <c r="B5" s="6" t="str">
        <f>Summary!C6</f>
        <v xml:space="preserve">Interest Rate (%) =  </v>
      </c>
      <c r="C5" s="4"/>
      <c r="D5" s="6"/>
      <c r="E5" s="85">
        <f>Summary!F6</f>
        <v>2.7199999999999998E-2</v>
      </c>
      <c r="F5" s="5"/>
      <c r="G5" s="99"/>
      <c r="H5" s="100"/>
      <c r="I5" s="100"/>
      <c r="J5" s="101"/>
    </row>
    <row r="6" spans="1:10" x14ac:dyDescent="0.25">
      <c r="A6" s="3">
        <f>Summary!B7</f>
        <v>4</v>
      </c>
      <c r="B6" s="6" t="str">
        <f>Summary!C7</f>
        <v>Term (Years) =</v>
      </c>
      <c r="C6" s="4"/>
      <c r="D6" s="6"/>
      <c r="E6" s="16">
        <v>25</v>
      </c>
      <c r="F6" s="5"/>
      <c r="G6" s="99"/>
      <c r="H6" s="100"/>
      <c r="I6" s="100"/>
      <c r="J6" s="101"/>
    </row>
    <row r="7" spans="1:10" x14ac:dyDescent="0.25">
      <c r="A7" s="3">
        <f>Summary!B8</f>
        <v>5</v>
      </c>
      <c r="B7" s="6" t="str">
        <f>Summary!C8</f>
        <v xml:space="preserve">Annualized Capital Cost = </v>
      </c>
      <c r="C7" s="4"/>
      <c r="D7" s="6"/>
      <c r="E7" s="7">
        <f>Summary!F8</f>
        <v>12100768.640900558</v>
      </c>
      <c r="G7" s="99"/>
      <c r="H7" s="100"/>
      <c r="I7" s="100"/>
      <c r="J7" s="101"/>
    </row>
    <row r="8" spans="1:10" x14ac:dyDescent="0.25">
      <c r="A8" s="3">
        <f>Summary!B9</f>
        <v>6</v>
      </c>
      <c r="B8" s="6" t="str">
        <f>Summary!C9</f>
        <v>First year O&amp;M costs ($)=</v>
      </c>
      <c r="C8" s="4"/>
      <c r="D8" s="6"/>
      <c r="E8" s="16">
        <f>Summary!F9</f>
        <v>200000</v>
      </c>
      <c r="G8" s="99"/>
      <c r="H8" s="100"/>
      <c r="I8" s="100"/>
      <c r="J8" s="101"/>
    </row>
    <row r="9" spans="1:10" x14ac:dyDescent="0.25">
      <c r="A9" s="3">
        <f>Summary!B10</f>
        <v>7</v>
      </c>
      <c r="B9" s="6" t="str">
        <f>Summary!C10</f>
        <v xml:space="preserve">Inflation rate for O&amp;M cost projections = </v>
      </c>
      <c r="C9" s="4"/>
      <c r="D9" s="6"/>
      <c r="E9" s="18">
        <f>Summary!F10</f>
        <v>0.03</v>
      </c>
      <c r="F9" s="5"/>
      <c r="G9" s="102"/>
      <c r="H9" s="103"/>
      <c r="I9" s="103"/>
      <c r="J9" s="104"/>
    </row>
    <row r="10" spans="1:10" ht="16.5" thickBot="1" x14ac:dyDescent="0.3">
      <c r="A10" s="17">
        <f>Summary!B11</f>
        <v>8</v>
      </c>
      <c r="B10" s="8" t="str">
        <f>Summary!C11</f>
        <v>Enter First Fiscal Year of Operation</v>
      </c>
      <c r="C10" s="9"/>
      <c r="D10" s="8"/>
      <c r="E10" s="86">
        <f>Summary!F11</f>
        <v>2029</v>
      </c>
      <c r="F10" s="87"/>
      <c r="G10" s="84"/>
      <c r="H10" s="84"/>
      <c r="I10" s="84"/>
      <c r="J10" s="84"/>
    </row>
    <row r="11" spans="1:10" x14ac:dyDescent="0.25">
      <c r="A11" s="10"/>
      <c r="B11" s="6"/>
      <c r="C11" s="4"/>
      <c r="D11" s="6"/>
      <c r="E11" s="11"/>
      <c r="F11" s="5"/>
      <c r="G11" s="4"/>
      <c r="H11" s="4"/>
    </row>
    <row r="12" spans="1:10" s="12" customFormat="1" ht="33.75" customHeight="1" x14ac:dyDescent="0.25">
      <c r="A12" s="95" t="s">
        <v>39</v>
      </c>
      <c r="B12" s="95"/>
      <c r="C12" s="95"/>
      <c r="D12" s="95"/>
      <c r="E12" s="95"/>
      <c r="F12" s="95"/>
      <c r="G12" s="95"/>
      <c r="H12" s="95"/>
      <c r="I12" s="95"/>
      <c r="J12" s="95"/>
    </row>
    <row r="13" spans="1:10" s="13" customFormat="1" ht="31.5" x14ac:dyDescent="0.25">
      <c r="A13" s="27"/>
      <c r="B13" s="27" t="s">
        <v>17</v>
      </c>
      <c r="C13" s="27" t="s">
        <v>40</v>
      </c>
      <c r="D13" s="27" t="s">
        <v>41</v>
      </c>
      <c r="E13" s="27" t="s">
        <v>42</v>
      </c>
      <c r="F13" s="27" t="s">
        <v>43</v>
      </c>
      <c r="G13" s="28" t="s">
        <v>44</v>
      </c>
      <c r="H13" s="27" t="s">
        <v>45</v>
      </c>
      <c r="I13" s="27" t="s">
        <v>46</v>
      </c>
      <c r="J13" s="27" t="s">
        <v>47</v>
      </c>
    </row>
    <row r="14" spans="1:10" x14ac:dyDescent="0.25">
      <c r="A14" s="29"/>
      <c r="B14" s="30"/>
      <c r="C14" s="29" t="s">
        <v>18</v>
      </c>
      <c r="D14" s="31" t="s">
        <v>28</v>
      </c>
      <c r="E14" s="29" t="s">
        <v>28</v>
      </c>
      <c r="F14" s="29" t="s">
        <v>26</v>
      </c>
      <c r="G14" s="32" t="s">
        <v>26</v>
      </c>
      <c r="H14" s="29" t="s">
        <v>26</v>
      </c>
      <c r="I14" s="29" t="s">
        <v>28</v>
      </c>
      <c r="J14" s="29" t="s">
        <v>28</v>
      </c>
    </row>
    <row r="15" spans="1:10" x14ac:dyDescent="0.25">
      <c r="A15" s="49">
        <f>Summary!B15</f>
        <v>0</v>
      </c>
      <c r="B15" s="49">
        <f>Summary!C15</f>
        <v>2024</v>
      </c>
      <c r="C15" s="33">
        <f>IF(A15=0,0,Summary!D15)</f>
        <v>0</v>
      </c>
      <c r="D15" s="34">
        <f>IF(A15=0,0,$E$7)</f>
        <v>0</v>
      </c>
      <c r="E15" s="34">
        <f>IF(A15=0,0,$E$8*(1+$E$9)^(B15-$E$10))</f>
        <v>0</v>
      </c>
      <c r="F15" s="34">
        <f>IFERROR((D15+E15)/C15,0)</f>
        <v>0</v>
      </c>
      <c r="G15" s="35">
        <f>Summary!E15</f>
        <v>1279</v>
      </c>
      <c r="H15" s="34">
        <f>IF(OR(A15=0,A15&gt;$E$6),0,ROUND(IF(G15&gt;=F15,0,MIN(F15-G15,340)),0))</f>
        <v>0</v>
      </c>
      <c r="I15" s="34">
        <f>H15*C15</f>
        <v>0</v>
      </c>
      <c r="J15" s="34">
        <f>I15/(1.04^(B15-$B$15))</f>
        <v>0</v>
      </c>
    </row>
    <row r="16" spans="1:10" x14ac:dyDescent="0.25">
      <c r="A16" s="49">
        <f>Summary!B16</f>
        <v>0</v>
      </c>
      <c r="B16" s="49">
        <f>Summary!C16</f>
        <v>2025</v>
      </c>
      <c r="C16" s="33">
        <f>IF(A16=0,0,Summary!D16)</f>
        <v>0</v>
      </c>
      <c r="D16" s="34">
        <f t="shared" ref="D16:D44" si="0">IF(A16=0,0,$E$7)</f>
        <v>0</v>
      </c>
      <c r="E16" s="34">
        <f t="shared" ref="E16:E44" si="1">IF(A16=0,0,$E$8*(1+$E$9)^(B16-$E$10))</f>
        <v>0</v>
      </c>
      <c r="F16" s="34">
        <f t="shared" ref="F16:F44" si="2">IFERROR((D16+E16)/C16,0)</f>
        <v>0</v>
      </c>
      <c r="G16" s="35">
        <f>Summary!E16</f>
        <v>1380</v>
      </c>
      <c r="H16" s="34">
        <f>IF(OR(A16=0,A16&gt;$E$6),0,ROUND(IF(G16&gt;=F16,0,MIN(F16-G16,340)),0))</f>
        <v>0</v>
      </c>
      <c r="I16" s="34">
        <f t="shared" ref="I16:I38" si="3">H16*C16</f>
        <v>0</v>
      </c>
      <c r="J16" s="34">
        <f t="shared" ref="J16:J44" si="4">I16/(1.04^(B16-$B$15))</f>
        <v>0</v>
      </c>
    </row>
    <row r="17" spans="1:10" x14ac:dyDescent="0.25">
      <c r="A17" s="49">
        <f>Summary!B17</f>
        <v>0</v>
      </c>
      <c r="B17" s="49">
        <f>Summary!C17</f>
        <v>2026</v>
      </c>
      <c r="C17" s="33">
        <f>IF(A17=0,0,Summary!D17)</f>
        <v>0</v>
      </c>
      <c r="D17" s="34">
        <f t="shared" si="0"/>
        <v>0</v>
      </c>
      <c r="E17" s="34">
        <f t="shared" si="1"/>
        <v>0</v>
      </c>
      <c r="F17" s="34">
        <f t="shared" si="2"/>
        <v>0</v>
      </c>
      <c r="G17" s="35">
        <f>Summary!E17</f>
        <v>1473</v>
      </c>
      <c r="H17" s="34">
        <f t="shared" ref="H17:H44" si="5">IF(OR(A17=0,A17&gt;$E$6),0,ROUND(IF(G17&gt;=F17,0,MIN(F17-G17,340)),0))</f>
        <v>0</v>
      </c>
      <c r="I17" s="34">
        <f t="shared" si="3"/>
        <v>0</v>
      </c>
      <c r="J17" s="34">
        <f>I17/(1.04^(B17-$B$15))</f>
        <v>0</v>
      </c>
    </row>
    <row r="18" spans="1:10" x14ac:dyDescent="0.25">
      <c r="A18" s="49">
        <f>Summary!B18</f>
        <v>0</v>
      </c>
      <c r="B18" s="49">
        <f>Summary!C18</f>
        <v>2027</v>
      </c>
      <c r="C18" s="33">
        <f>IF(A18=0,0,Summary!D18)</f>
        <v>0</v>
      </c>
      <c r="D18" s="34">
        <f t="shared" si="0"/>
        <v>0</v>
      </c>
      <c r="E18" s="34">
        <f t="shared" si="1"/>
        <v>0</v>
      </c>
      <c r="F18" s="34">
        <f t="shared" si="2"/>
        <v>0</v>
      </c>
      <c r="G18" s="35">
        <f>Summary!E18</f>
        <v>1565</v>
      </c>
      <c r="H18" s="34">
        <f t="shared" si="5"/>
        <v>0</v>
      </c>
      <c r="I18" s="34">
        <f t="shared" si="3"/>
        <v>0</v>
      </c>
      <c r="J18" s="34">
        <f t="shared" si="4"/>
        <v>0</v>
      </c>
    </row>
    <row r="19" spans="1:10" x14ac:dyDescent="0.25">
      <c r="A19" s="49">
        <f>Summary!B19</f>
        <v>0</v>
      </c>
      <c r="B19" s="49">
        <f>Summary!C19</f>
        <v>2028</v>
      </c>
      <c r="C19" s="33">
        <f>IF(A19=0,0,Summary!D19)</f>
        <v>0</v>
      </c>
      <c r="D19" s="34">
        <f t="shared" si="0"/>
        <v>0</v>
      </c>
      <c r="E19" s="34">
        <f t="shared" si="1"/>
        <v>0</v>
      </c>
      <c r="F19" s="34">
        <f t="shared" si="2"/>
        <v>0</v>
      </c>
      <c r="G19" s="35">
        <f>Summary!E19</f>
        <v>1648</v>
      </c>
      <c r="H19" s="34">
        <f t="shared" si="5"/>
        <v>0</v>
      </c>
      <c r="I19" s="34">
        <f t="shared" si="3"/>
        <v>0</v>
      </c>
      <c r="J19" s="34">
        <f t="shared" si="4"/>
        <v>0</v>
      </c>
    </row>
    <row r="20" spans="1:10" x14ac:dyDescent="0.25">
      <c r="A20" s="49">
        <f>Summary!B20</f>
        <v>1</v>
      </c>
      <c r="B20" s="49">
        <f>Summary!C20</f>
        <v>2029</v>
      </c>
      <c r="C20" s="33">
        <f>IF(A20=0,0,Summary!D20)</f>
        <v>2370</v>
      </c>
      <c r="D20" s="34">
        <f t="shared" si="0"/>
        <v>12100768.640900558</v>
      </c>
      <c r="E20" s="34">
        <f t="shared" si="1"/>
        <v>200000</v>
      </c>
      <c r="F20" s="34">
        <f t="shared" si="2"/>
        <v>5190.1977387766065</v>
      </c>
      <c r="G20" s="35">
        <f>Summary!E20</f>
        <v>1739</v>
      </c>
      <c r="H20" s="34">
        <f t="shared" si="5"/>
        <v>340</v>
      </c>
      <c r="I20" s="34">
        <f t="shared" si="3"/>
        <v>805800</v>
      </c>
      <c r="J20" s="34">
        <f t="shared" si="4"/>
        <v>662308.86262668553</v>
      </c>
    </row>
    <row r="21" spans="1:10" x14ac:dyDescent="0.25">
      <c r="A21" s="49">
        <f>Summary!B21</f>
        <v>2</v>
      </c>
      <c r="B21" s="49">
        <f>Summary!C21</f>
        <v>2030</v>
      </c>
      <c r="C21" s="33">
        <f>IF(A21=0,0,Summary!D21)</f>
        <v>2370</v>
      </c>
      <c r="D21" s="34">
        <f t="shared" si="0"/>
        <v>12100768.640900558</v>
      </c>
      <c r="E21" s="34">
        <f t="shared" si="1"/>
        <v>206000</v>
      </c>
      <c r="F21" s="34">
        <f t="shared" si="2"/>
        <v>5192.7293843462267</v>
      </c>
      <c r="G21" s="35">
        <f>Summary!E21</f>
        <v>1816</v>
      </c>
      <c r="H21" s="34">
        <f t="shared" si="5"/>
        <v>340</v>
      </c>
      <c r="I21" s="34">
        <f t="shared" si="3"/>
        <v>805800</v>
      </c>
      <c r="J21" s="34">
        <f t="shared" si="4"/>
        <v>636835.44483335142</v>
      </c>
    </row>
    <row r="22" spans="1:10" x14ac:dyDescent="0.25">
      <c r="A22" s="49">
        <f>Summary!B22</f>
        <v>3</v>
      </c>
      <c r="B22" s="49">
        <f>Summary!C22</f>
        <v>2031</v>
      </c>
      <c r="C22" s="33">
        <f>IF(A22=0,0,Summary!D22)</f>
        <v>2370</v>
      </c>
      <c r="D22" s="34">
        <f t="shared" si="0"/>
        <v>12100768.640900558</v>
      </c>
      <c r="E22" s="34">
        <f t="shared" si="1"/>
        <v>212180</v>
      </c>
      <c r="F22" s="34">
        <f t="shared" si="2"/>
        <v>5195.3369792829362</v>
      </c>
      <c r="G22" s="35">
        <f>Summary!E22</f>
        <v>1903</v>
      </c>
      <c r="H22" s="34">
        <f t="shared" si="5"/>
        <v>340</v>
      </c>
      <c r="I22" s="34">
        <f t="shared" si="3"/>
        <v>805800</v>
      </c>
      <c r="J22" s="34">
        <f t="shared" si="4"/>
        <v>612341.77387822256</v>
      </c>
    </row>
    <row r="23" spans="1:10" x14ac:dyDescent="0.25">
      <c r="A23" s="49">
        <f>Summary!B23</f>
        <v>4</v>
      </c>
      <c r="B23" s="49">
        <f>Summary!C23</f>
        <v>2032</v>
      </c>
      <c r="C23" s="33">
        <f>IF(A23=0,0,Summary!D23)</f>
        <v>2370</v>
      </c>
      <c r="D23" s="34">
        <f t="shared" si="0"/>
        <v>12100768.640900558</v>
      </c>
      <c r="E23" s="34">
        <f t="shared" si="1"/>
        <v>218545.4</v>
      </c>
      <c r="F23" s="34">
        <f t="shared" si="2"/>
        <v>5198.0228020677459</v>
      </c>
      <c r="G23" s="35">
        <f>Summary!E23</f>
        <v>1985</v>
      </c>
      <c r="H23" s="34">
        <f t="shared" si="5"/>
        <v>340</v>
      </c>
      <c r="I23" s="34">
        <f t="shared" si="3"/>
        <v>805800</v>
      </c>
      <c r="J23" s="34">
        <f t="shared" si="4"/>
        <v>588790.16719059856</v>
      </c>
    </row>
    <row r="24" spans="1:10" x14ac:dyDescent="0.25">
      <c r="A24" s="49">
        <f>Summary!B24</f>
        <v>5</v>
      </c>
      <c r="B24" s="49">
        <f>Summary!C24</f>
        <v>2033</v>
      </c>
      <c r="C24" s="33">
        <f>IF(A24=0,0,Summary!D24)</f>
        <v>2370</v>
      </c>
      <c r="D24" s="34">
        <f t="shared" si="0"/>
        <v>12100768.640900558</v>
      </c>
      <c r="E24" s="34">
        <f t="shared" si="1"/>
        <v>225101.76199999999</v>
      </c>
      <c r="F24" s="34">
        <f t="shared" si="2"/>
        <v>5200.7891995361006</v>
      </c>
      <c r="G24" s="35">
        <f>Summary!E24</f>
        <v>2045</v>
      </c>
      <c r="H24" s="34">
        <f t="shared" si="5"/>
        <v>340</v>
      </c>
      <c r="I24" s="34">
        <f t="shared" si="3"/>
        <v>805800</v>
      </c>
      <c r="J24" s="34">
        <f t="shared" si="4"/>
        <v>566144.39152942155</v>
      </c>
    </row>
    <row r="25" spans="1:10" x14ac:dyDescent="0.25">
      <c r="A25" s="49">
        <f>Summary!B25</f>
        <v>6</v>
      </c>
      <c r="B25" s="49">
        <f>Summary!C25</f>
        <v>2034</v>
      </c>
      <c r="C25" s="33">
        <f>IF(A25=0,0,Summary!D25)</f>
        <v>2370</v>
      </c>
      <c r="D25" s="34">
        <f t="shared" si="0"/>
        <v>12100768.640900558</v>
      </c>
      <c r="E25" s="34">
        <f t="shared" si="1"/>
        <v>231854.81485999995</v>
      </c>
      <c r="F25" s="34">
        <f t="shared" si="2"/>
        <v>5203.6385889285048</v>
      </c>
      <c r="G25" s="35">
        <f>Summary!E25</f>
        <v>2106</v>
      </c>
      <c r="H25" s="34">
        <f t="shared" si="5"/>
        <v>340</v>
      </c>
      <c r="I25" s="34">
        <f t="shared" si="3"/>
        <v>805800</v>
      </c>
      <c r="J25" s="34">
        <f t="shared" si="4"/>
        <v>544369.60723982845</v>
      </c>
    </row>
    <row r="26" spans="1:10" x14ac:dyDescent="0.25">
      <c r="A26" s="49">
        <f>Summary!B26</f>
        <v>7</v>
      </c>
      <c r="B26" s="49">
        <f>Summary!C26</f>
        <v>2035</v>
      </c>
      <c r="C26" s="33">
        <f>IF(A26=0,0,Summary!D26)</f>
        <v>2370</v>
      </c>
      <c r="D26" s="34">
        <f t="shared" si="0"/>
        <v>12100768.640900558</v>
      </c>
      <c r="E26" s="34">
        <f t="shared" si="1"/>
        <v>238810.45930579997</v>
      </c>
      <c r="F26" s="34">
        <f t="shared" si="2"/>
        <v>5206.5734600026826</v>
      </c>
      <c r="G26" s="35">
        <f>Summary!E26</f>
        <v>2169</v>
      </c>
      <c r="H26" s="34">
        <f t="shared" si="5"/>
        <v>340</v>
      </c>
      <c r="I26" s="34">
        <f t="shared" si="3"/>
        <v>805800</v>
      </c>
      <c r="J26" s="34">
        <f t="shared" si="4"/>
        <v>523432.31465368124</v>
      </c>
    </row>
    <row r="27" spans="1:10" x14ac:dyDescent="0.25">
      <c r="A27" s="49">
        <f>Summary!B27</f>
        <v>8</v>
      </c>
      <c r="B27" s="49">
        <f>Summary!C27</f>
        <v>2036</v>
      </c>
      <c r="C27" s="33">
        <f>IF(A27=0,0,Summary!D27)</f>
        <v>2370</v>
      </c>
      <c r="D27" s="34">
        <f t="shared" si="0"/>
        <v>12100768.640900558</v>
      </c>
      <c r="E27" s="34">
        <f t="shared" si="1"/>
        <v>245974.773084974</v>
      </c>
      <c r="F27" s="34">
        <f t="shared" si="2"/>
        <v>5209.5963772090854</v>
      </c>
      <c r="G27" s="35">
        <f>Summary!E27</f>
        <v>2234</v>
      </c>
      <c r="H27" s="34">
        <f t="shared" si="5"/>
        <v>340</v>
      </c>
      <c r="I27" s="34">
        <f t="shared" si="3"/>
        <v>805800</v>
      </c>
      <c r="J27" s="34">
        <f t="shared" si="4"/>
        <v>503300.30255161651</v>
      </c>
    </row>
    <row r="28" spans="1:10" x14ac:dyDescent="0.25">
      <c r="A28" s="49">
        <f>Summary!B28</f>
        <v>9</v>
      </c>
      <c r="B28" s="49">
        <f>Summary!C28</f>
        <v>2037</v>
      </c>
      <c r="C28" s="33">
        <f>IF(A28=0,0,Summary!D28)</f>
        <v>2370</v>
      </c>
      <c r="D28" s="34">
        <f t="shared" si="0"/>
        <v>12100768.640900558</v>
      </c>
      <c r="E28" s="34">
        <f t="shared" si="1"/>
        <v>253354.01627752319</v>
      </c>
      <c r="F28" s="34">
        <f t="shared" si="2"/>
        <v>5212.70998193168</v>
      </c>
      <c r="G28" s="35">
        <f>Summary!E28</f>
        <v>2301</v>
      </c>
      <c r="H28" s="34">
        <f t="shared" si="5"/>
        <v>340</v>
      </c>
      <c r="I28" s="34">
        <f t="shared" si="3"/>
        <v>805800</v>
      </c>
      <c r="J28" s="34">
        <f t="shared" si="4"/>
        <v>483942.59860732354</v>
      </c>
    </row>
    <row r="29" spans="1:10" x14ac:dyDescent="0.25">
      <c r="A29" s="49">
        <f>Summary!B29</f>
        <v>10</v>
      </c>
      <c r="B29" s="49">
        <f>Summary!C29</f>
        <v>2038</v>
      </c>
      <c r="C29" s="33">
        <f>IF(A29=0,0,Summary!D29)</f>
        <v>2370</v>
      </c>
      <c r="D29" s="34">
        <f t="shared" si="0"/>
        <v>12100768.640900558</v>
      </c>
      <c r="E29" s="34">
        <f t="shared" si="1"/>
        <v>260954.6367658489</v>
      </c>
      <c r="F29" s="34">
        <f t="shared" si="2"/>
        <v>5215.9169947959526</v>
      </c>
      <c r="G29" s="35">
        <f>Summary!E29</f>
        <v>2370</v>
      </c>
      <c r="H29" s="34">
        <f t="shared" si="5"/>
        <v>340</v>
      </c>
      <c r="I29" s="34">
        <f t="shared" si="3"/>
        <v>805800</v>
      </c>
      <c r="J29" s="34">
        <f t="shared" si="4"/>
        <v>465329.42173781112</v>
      </c>
    </row>
    <row r="30" spans="1:10" x14ac:dyDescent="0.25">
      <c r="A30" s="49">
        <f>Summary!B30</f>
        <v>11</v>
      </c>
      <c r="B30" s="49">
        <f>Summary!C30</f>
        <v>2039</v>
      </c>
      <c r="C30" s="33">
        <f>IF(A30=0,0,Summary!D30)</f>
        <v>2370</v>
      </c>
      <c r="D30" s="34">
        <f t="shared" si="0"/>
        <v>12100768.640900558</v>
      </c>
      <c r="E30" s="34">
        <f t="shared" si="1"/>
        <v>268783.27586882433</v>
      </c>
      <c r="F30" s="34">
        <f t="shared" si="2"/>
        <v>5219.2202180461527</v>
      </c>
      <c r="G30" s="35">
        <f>Summary!E30</f>
        <v>2441</v>
      </c>
      <c r="H30" s="34">
        <f t="shared" si="5"/>
        <v>340</v>
      </c>
      <c r="I30" s="34">
        <f t="shared" si="3"/>
        <v>805800</v>
      </c>
      <c r="J30" s="34">
        <f t="shared" si="4"/>
        <v>447432.13628635684</v>
      </c>
    </row>
    <row r="31" spans="1:10" x14ac:dyDescent="0.25">
      <c r="A31" s="49">
        <f>Summary!B31</f>
        <v>12</v>
      </c>
      <c r="B31" s="49">
        <f>Summary!C31</f>
        <v>2040</v>
      </c>
      <c r="C31" s="33">
        <f>IF(A31=0,0,Summary!D31)</f>
        <v>2370</v>
      </c>
      <c r="D31" s="34">
        <f t="shared" si="0"/>
        <v>12100768.640900558</v>
      </c>
      <c r="E31" s="34">
        <f t="shared" si="1"/>
        <v>276846.77414488909</v>
      </c>
      <c r="F31" s="34">
        <f t="shared" si="2"/>
        <v>5222.6225379938596</v>
      </c>
      <c r="G31" s="35">
        <f>Summary!E31</f>
        <v>2514</v>
      </c>
      <c r="H31" s="34">
        <f t="shared" si="5"/>
        <v>340</v>
      </c>
      <c r="I31" s="34">
        <f t="shared" si="3"/>
        <v>805800</v>
      </c>
      <c r="J31" s="34">
        <f t="shared" si="4"/>
        <v>430223.20796765073</v>
      </c>
    </row>
    <row r="32" spans="1:10" x14ac:dyDescent="0.25">
      <c r="A32" s="49">
        <f>Summary!B32</f>
        <v>13</v>
      </c>
      <c r="B32" s="49">
        <f>Summary!C32</f>
        <v>2041</v>
      </c>
      <c r="C32" s="33">
        <f>IF(A32=0,0,Summary!D32)</f>
        <v>2370</v>
      </c>
      <c r="D32" s="34">
        <f t="shared" si="0"/>
        <v>12100768.640900558</v>
      </c>
      <c r="E32" s="34">
        <f t="shared" si="1"/>
        <v>285152.17736923572</v>
      </c>
      <c r="F32" s="34">
        <f t="shared" si="2"/>
        <v>5226.1269275399973</v>
      </c>
      <c r="G32" s="35">
        <f>Summary!E32</f>
        <v>2589</v>
      </c>
      <c r="H32" s="34">
        <f t="shared" si="5"/>
        <v>340</v>
      </c>
      <c r="I32" s="34">
        <f t="shared" si="3"/>
        <v>805800</v>
      </c>
      <c r="J32" s="34">
        <f t="shared" si="4"/>
        <v>413676.16150735645</v>
      </c>
    </row>
    <row r="33" spans="1:10" x14ac:dyDescent="0.25">
      <c r="A33" s="49">
        <f>Summary!B33</f>
        <v>14</v>
      </c>
      <c r="B33" s="49">
        <f>Summary!C33</f>
        <v>2042</v>
      </c>
      <c r="C33" s="33">
        <f>IF(A33=0,0,Summary!D33)</f>
        <v>2370</v>
      </c>
      <c r="D33" s="34">
        <f t="shared" si="0"/>
        <v>12100768.640900558</v>
      </c>
      <c r="E33" s="34">
        <f t="shared" si="1"/>
        <v>293706.74269031279</v>
      </c>
      <c r="F33" s="34">
        <f t="shared" si="2"/>
        <v>5229.7364487725199</v>
      </c>
      <c r="G33" s="35">
        <f>Summary!E33</f>
        <v>2667</v>
      </c>
      <c r="H33" s="34">
        <f t="shared" si="5"/>
        <v>340</v>
      </c>
      <c r="I33" s="34">
        <f t="shared" si="3"/>
        <v>805800</v>
      </c>
      <c r="J33" s="34">
        <f t="shared" si="4"/>
        <v>397765.53991091962</v>
      </c>
    </row>
    <row r="34" spans="1:10" x14ac:dyDescent="0.25">
      <c r="A34" s="49">
        <f>Summary!B34</f>
        <v>15</v>
      </c>
      <c r="B34" s="49">
        <f>Summary!C34</f>
        <v>2043</v>
      </c>
      <c r="C34" s="33">
        <f>IF(A34=0,0,Summary!D34)</f>
        <v>2370</v>
      </c>
      <c r="D34" s="34">
        <f t="shared" si="0"/>
        <v>12100768.640900558</v>
      </c>
      <c r="E34" s="34">
        <f t="shared" si="1"/>
        <v>302517.9449710222</v>
      </c>
      <c r="F34" s="34">
        <f t="shared" si="2"/>
        <v>5233.4542556420174</v>
      </c>
      <c r="G34" s="35">
        <f>Summary!E34</f>
        <v>2747</v>
      </c>
      <c r="H34" s="34">
        <f t="shared" si="5"/>
        <v>340</v>
      </c>
      <c r="I34" s="34">
        <f t="shared" si="3"/>
        <v>805800</v>
      </c>
      <c r="J34" s="34">
        <f t="shared" si="4"/>
        <v>382466.86529896117</v>
      </c>
    </row>
    <row r="35" spans="1:10" x14ac:dyDescent="0.25">
      <c r="A35" s="49">
        <f>Summary!B35</f>
        <v>16</v>
      </c>
      <c r="B35" s="49">
        <f>Summary!C35</f>
        <v>2044</v>
      </c>
      <c r="C35" s="33">
        <f>IF(A35=0,0,Summary!D35)</f>
        <v>2370</v>
      </c>
      <c r="D35" s="34">
        <f t="shared" si="0"/>
        <v>12100768.640900558</v>
      </c>
      <c r="E35" s="34">
        <f t="shared" si="1"/>
        <v>311593.48332015291</v>
      </c>
      <c r="F35" s="34">
        <f t="shared" si="2"/>
        <v>5237.2835967175988</v>
      </c>
      <c r="G35" s="35">
        <f>Summary!E35</f>
        <v>2829</v>
      </c>
      <c r="H35" s="34">
        <f t="shared" si="5"/>
        <v>340</v>
      </c>
      <c r="I35" s="34">
        <f t="shared" si="3"/>
        <v>805800</v>
      </c>
      <c r="J35" s="34">
        <f t="shared" si="4"/>
        <v>367756.60124900116</v>
      </c>
    </row>
    <row r="36" spans="1:10" x14ac:dyDescent="0.25">
      <c r="A36" s="49">
        <f>Summary!B36</f>
        <v>17</v>
      </c>
      <c r="B36" s="49">
        <f>Summary!C36</f>
        <v>2045</v>
      </c>
      <c r="C36" s="33">
        <f>IF(A36=0,0,Summary!D36)</f>
        <v>2370</v>
      </c>
      <c r="D36" s="34">
        <f t="shared" si="0"/>
        <v>12100768.640900558</v>
      </c>
      <c r="E36" s="34">
        <f t="shared" si="1"/>
        <v>320941.28781975742</v>
      </c>
      <c r="F36" s="34">
        <f t="shared" si="2"/>
        <v>5241.2278180254498</v>
      </c>
      <c r="G36" s="35">
        <f>Summary!E36</f>
        <v>2914</v>
      </c>
      <c r="H36" s="34">
        <f t="shared" si="5"/>
        <v>340</v>
      </c>
      <c r="I36" s="34">
        <f t="shared" si="3"/>
        <v>805800</v>
      </c>
      <c r="J36" s="34">
        <f t="shared" si="4"/>
        <v>353612.11658557795</v>
      </c>
    </row>
    <row r="37" spans="1:10" x14ac:dyDescent="0.25">
      <c r="A37" s="49">
        <f>Summary!B37</f>
        <v>18</v>
      </c>
      <c r="B37" s="49">
        <f>Summary!C37</f>
        <v>2046</v>
      </c>
      <c r="C37" s="33">
        <f>IF(A37=0,0,Summary!D37)</f>
        <v>2370</v>
      </c>
      <c r="D37" s="34">
        <f t="shared" si="0"/>
        <v>12100768.640900558</v>
      </c>
      <c r="E37" s="34">
        <f t="shared" si="1"/>
        <v>330569.52645435015</v>
      </c>
      <c r="F37" s="34">
        <f t="shared" si="2"/>
        <v>5245.2903659725353</v>
      </c>
      <c r="G37" s="35">
        <f>Summary!E37</f>
        <v>3001</v>
      </c>
      <c r="H37" s="34">
        <f t="shared" si="5"/>
        <v>340</v>
      </c>
      <c r="I37" s="34">
        <f t="shared" si="3"/>
        <v>805800</v>
      </c>
      <c r="J37" s="34">
        <f t="shared" si="4"/>
        <v>340011.65056305571</v>
      </c>
    </row>
    <row r="38" spans="1:10" x14ac:dyDescent="0.25">
      <c r="A38" s="49">
        <f>Summary!B38</f>
        <v>19</v>
      </c>
      <c r="B38" s="49">
        <f>Summary!C38</f>
        <v>2047</v>
      </c>
      <c r="C38" s="33">
        <f>IF(A38=0,0,Summary!D38)</f>
        <v>2370</v>
      </c>
      <c r="D38" s="34">
        <f t="shared" si="0"/>
        <v>12100768.640900558</v>
      </c>
      <c r="E38" s="34">
        <f t="shared" si="1"/>
        <v>340486.61224798067</v>
      </c>
      <c r="F38" s="34">
        <f t="shared" si="2"/>
        <v>5249.4747903580337</v>
      </c>
      <c r="G38" s="35">
        <f>Summary!E38</f>
        <v>3091</v>
      </c>
      <c r="H38" s="34">
        <f t="shared" si="5"/>
        <v>340</v>
      </c>
      <c r="I38" s="34">
        <f t="shared" si="3"/>
        <v>805800</v>
      </c>
      <c r="J38" s="34">
        <f t="shared" si="4"/>
        <v>326934.27938755363</v>
      </c>
    </row>
    <row r="39" spans="1:10" x14ac:dyDescent="0.25">
      <c r="A39" s="49">
        <f>Summary!B39</f>
        <v>20</v>
      </c>
      <c r="B39" s="49">
        <f>Summary!C39</f>
        <v>2048</v>
      </c>
      <c r="C39" s="33">
        <f>IF(A39=0,0,Summary!D39)</f>
        <v>2370</v>
      </c>
      <c r="D39" s="34">
        <f t="shared" si="0"/>
        <v>12100768.640900558</v>
      </c>
      <c r="E39" s="34">
        <f t="shared" si="1"/>
        <v>350701.21061542007</v>
      </c>
      <c r="F39" s="34">
        <f t="shared" si="2"/>
        <v>5253.7847474750961</v>
      </c>
      <c r="G39" s="35">
        <f>Summary!E39</f>
        <v>3184</v>
      </c>
      <c r="H39" s="34">
        <f t="shared" si="5"/>
        <v>340</v>
      </c>
      <c r="I39" s="34">
        <f t="shared" ref="I39:I40" si="6">H39*C39</f>
        <v>805800</v>
      </c>
      <c r="J39" s="34">
        <f t="shared" si="4"/>
        <v>314359.88402649382</v>
      </c>
    </row>
    <row r="40" spans="1:10" x14ac:dyDescent="0.25">
      <c r="A40" s="49">
        <f>Summary!B40</f>
        <v>21</v>
      </c>
      <c r="B40" s="49">
        <f>Summary!C40</f>
        <v>2049</v>
      </c>
      <c r="C40" s="33">
        <f>IF(A40=0,0,Summary!D40)</f>
        <v>2370</v>
      </c>
      <c r="D40" s="34">
        <f t="shared" si="0"/>
        <v>12100768.640900558</v>
      </c>
      <c r="E40" s="34">
        <f t="shared" si="1"/>
        <v>361222.24693388265</v>
      </c>
      <c r="F40" s="34">
        <f t="shared" si="2"/>
        <v>5258.2240033056714</v>
      </c>
      <c r="G40" s="35">
        <f>Summary!E40</f>
        <v>3279.52</v>
      </c>
      <c r="H40" s="34">
        <f t="shared" si="5"/>
        <v>340</v>
      </c>
      <c r="I40" s="34">
        <f t="shared" si="6"/>
        <v>805800</v>
      </c>
      <c r="J40" s="34">
        <f t="shared" si="4"/>
        <v>302269.11925624398</v>
      </c>
    </row>
    <row r="41" spans="1:10" x14ac:dyDescent="0.25">
      <c r="A41" s="49">
        <f>Summary!B41</f>
        <v>22</v>
      </c>
      <c r="B41" s="49">
        <f>Summary!C41</f>
        <v>2050</v>
      </c>
      <c r="C41" s="33">
        <f>IF(A41=0,0,Summary!D41)</f>
        <v>2370</v>
      </c>
      <c r="D41" s="34">
        <f t="shared" si="0"/>
        <v>12100768.640900558</v>
      </c>
      <c r="E41" s="34">
        <f t="shared" si="1"/>
        <v>372058.9143418991</v>
      </c>
      <c r="F41" s="34">
        <f t="shared" si="2"/>
        <v>5262.7964368111634</v>
      </c>
      <c r="G41" s="35">
        <f>Summary!E41</f>
        <v>3377.9056</v>
      </c>
      <c r="H41" s="34">
        <f t="shared" si="5"/>
        <v>340</v>
      </c>
      <c r="I41" s="34">
        <f t="shared" ref="I41:I42" si="7">H41*C41</f>
        <v>805800</v>
      </c>
      <c r="J41" s="34">
        <f t="shared" si="4"/>
        <v>290643.38390023465</v>
      </c>
    </row>
    <row r="42" spans="1:10" x14ac:dyDescent="0.25">
      <c r="A42" s="49">
        <f>Summary!B42</f>
        <v>23</v>
      </c>
      <c r="B42" s="49">
        <f>Summary!C42</f>
        <v>2051</v>
      </c>
      <c r="C42" s="33">
        <f>IF(A42=0,0,Summary!D42)</f>
        <v>2370</v>
      </c>
      <c r="D42" s="34">
        <f t="shared" si="0"/>
        <v>12100768.640900558</v>
      </c>
      <c r="E42" s="34">
        <f t="shared" si="1"/>
        <v>383220.68177215609</v>
      </c>
      <c r="F42" s="34">
        <f t="shared" si="2"/>
        <v>5267.5060433218205</v>
      </c>
      <c r="G42" s="35">
        <f>Summary!E42</f>
        <v>3479.2427680000001</v>
      </c>
      <c r="H42" s="34">
        <f t="shared" si="5"/>
        <v>340</v>
      </c>
      <c r="I42" s="34">
        <f t="shared" si="7"/>
        <v>805800</v>
      </c>
      <c r="J42" s="34">
        <f t="shared" si="4"/>
        <v>279464.79221176408</v>
      </c>
    </row>
    <row r="43" spans="1:10" x14ac:dyDescent="0.25">
      <c r="A43" s="49">
        <f>Summary!B43</f>
        <v>24</v>
      </c>
      <c r="B43" s="49">
        <f>Summary!C43</f>
        <v>2052</v>
      </c>
      <c r="C43" s="33">
        <f>IF(A43=0,0,Summary!D43)</f>
        <v>2370</v>
      </c>
      <c r="D43" s="34">
        <f t="shared" si="0"/>
        <v>12100768.640900558</v>
      </c>
      <c r="E43" s="34">
        <f t="shared" si="1"/>
        <v>394717.30222532077</v>
      </c>
      <c r="F43" s="34">
        <f t="shared" si="2"/>
        <v>5272.3569380277968</v>
      </c>
      <c r="G43" s="35">
        <f>Summary!E43</f>
        <v>3583.6200510400004</v>
      </c>
      <c r="H43" s="34">
        <f t="shared" si="5"/>
        <v>340</v>
      </c>
      <c r="I43" s="34">
        <f>H43*C43</f>
        <v>805800</v>
      </c>
      <c r="J43" s="34">
        <f t="shared" si="4"/>
        <v>268716.14635746542</v>
      </c>
    </row>
    <row r="44" spans="1:10" x14ac:dyDescent="0.25">
      <c r="A44" s="49">
        <f>Summary!B44</f>
        <v>25</v>
      </c>
      <c r="B44" s="49">
        <f>Summary!C44</f>
        <v>2053</v>
      </c>
      <c r="C44" s="33">
        <f>IF(A44=0,0,Summary!D44)</f>
        <v>2370</v>
      </c>
      <c r="D44" s="34">
        <f t="shared" si="0"/>
        <v>12100768.640900558</v>
      </c>
      <c r="E44" s="34">
        <f t="shared" si="1"/>
        <v>406558.82129208033</v>
      </c>
      <c r="F44" s="34">
        <f t="shared" si="2"/>
        <v>5277.3533595749523</v>
      </c>
      <c r="G44" s="35">
        <f>Summary!E44</f>
        <v>3691.1286525712003</v>
      </c>
      <c r="H44" s="34">
        <f t="shared" si="5"/>
        <v>340</v>
      </c>
      <c r="I44" s="34">
        <f>H44*C44</f>
        <v>805800</v>
      </c>
      <c r="J44" s="34">
        <f t="shared" si="4"/>
        <v>258380.90995910135</v>
      </c>
    </row>
    <row r="45" spans="1:10" x14ac:dyDescent="0.25">
      <c r="A45" s="113"/>
      <c r="B45" s="113"/>
      <c r="C45" s="114"/>
      <c r="D45" s="115"/>
      <c r="E45" s="115"/>
      <c r="F45" s="115"/>
      <c r="G45" s="116"/>
      <c r="H45" s="115"/>
      <c r="I45" s="115"/>
      <c r="J45" s="115"/>
    </row>
    <row r="46" spans="1:10" x14ac:dyDescent="0.25">
      <c r="C46" s="20">
        <f>SUMIFS($C$15:C44,$B$15:$B$44,"&gt;="&amp;$E$10,$B$15:$B$44,"&lt;"&amp;($E$10+$E$6))</f>
        <v>59250</v>
      </c>
      <c r="F46" s="2"/>
      <c r="I46" s="20">
        <f>SUMIFS($I$15:I44,$B$15:$B$44,"&gt;="&amp;$E$10,$B$15:$B$44,"&lt;"&amp;($E$10+$E$6))</f>
        <v>20145000</v>
      </c>
      <c r="J46" s="20">
        <f>SUMIFS($J$15:J44,$B$15:$B$44,"&gt;="&amp;$E$10,$B$15:$B$44,"&lt;"&amp;($E$10+$E$6))</f>
        <v>10760507.679316279</v>
      </c>
    </row>
    <row r="47" spans="1:10" x14ac:dyDescent="0.25">
      <c r="C47" s="20"/>
      <c r="F47" s="2"/>
      <c r="I47" s="19"/>
      <c r="J47" s="19"/>
    </row>
    <row r="48" spans="1:10" x14ac:dyDescent="0.25">
      <c r="A48" s="36" t="s">
        <v>48</v>
      </c>
      <c r="F48" s="2"/>
      <c r="G48" s="15"/>
    </row>
    <row r="50" spans="9:10" x14ac:dyDescent="0.25">
      <c r="I50" s="19"/>
      <c r="J50" s="19"/>
    </row>
  </sheetData>
  <mergeCells count="2">
    <mergeCell ref="A12:J12"/>
    <mergeCell ref="G3:J9"/>
  </mergeCells>
  <printOptions horizontalCentered="1" verticalCentered="1"/>
  <pageMargins left="0.45" right="0.45" top="0.5" bottom="0.5" header="0.3" footer="0.3"/>
  <pageSetup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5"/>
  <sheetViews>
    <sheetView tabSelected="1" topLeftCell="A11" zoomScale="85" zoomScaleNormal="85" workbookViewId="0">
      <selection activeCell="I44" sqref="I44"/>
    </sheetView>
  </sheetViews>
  <sheetFormatPr defaultColWidth="10.28515625" defaultRowHeight="15.75" x14ac:dyDescent="0.25"/>
  <cols>
    <col min="1" max="1" width="8.28515625" style="2" customWidth="1"/>
    <col min="2" max="2" width="11.42578125" style="2" customWidth="1"/>
    <col min="3" max="3" width="11" style="2" customWidth="1"/>
    <col min="4" max="4" width="23.28515625" style="2" bestFit="1" customWidth="1"/>
    <col min="5" max="5" width="15.28515625" style="2" customWidth="1"/>
    <col min="6" max="6" width="12.7109375" style="2" customWidth="1"/>
    <col min="7" max="7" width="16.5703125" style="15" customWidth="1"/>
    <col min="8" max="8" width="40.28515625" style="2" bestFit="1" customWidth="1"/>
    <col min="9" max="9" width="16.7109375" style="2" customWidth="1"/>
    <col min="10" max="10" width="15.85546875" style="2" customWidth="1"/>
    <col min="11" max="16384" width="10.28515625" style="2"/>
  </cols>
  <sheetData>
    <row r="1" spans="1:10" ht="25.5" customHeight="1" thickBot="1" x14ac:dyDescent="0.3">
      <c r="A1" s="44" t="s">
        <v>49</v>
      </c>
      <c r="B1" s="1"/>
      <c r="C1" s="1"/>
      <c r="D1" s="1"/>
      <c r="E1" s="45"/>
      <c r="F1" s="1"/>
      <c r="G1" s="1"/>
      <c r="H1" s="1"/>
    </row>
    <row r="2" spans="1:10" x14ac:dyDescent="0.25">
      <c r="A2" s="37" t="str">
        <f>Summary!B3</f>
        <v>Project Cost Data:</v>
      </c>
      <c r="B2" s="40"/>
      <c r="C2" s="38"/>
      <c r="D2" s="38"/>
      <c r="E2" s="39"/>
      <c r="F2" s="4"/>
      <c r="G2" s="5"/>
      <c r="I2" s="4"/>
    </row>
    <row r="3" spans="1:10" x14ac:dyDescent="0.25">
      <c r="A3" s="3">
        <f>Summary!B4</f>
        <v>1</v>
      </c>
      <c r="B3" s="6" t="str">
        <f>Summary!C4</f>
        <v>Contract Yield (AFY) =</v>
      </c>
      <c r="C3" s="4"/>
      <c r="D3" s="4"/>
      <c r="E3" s="16">
        <f>Summary!F4</f>
        <v>2370</v>
      </c>
      <c r="F3" s="4"/>
      <c r="G3" s="96" t="s">
        <v>50</v>
      </c>
      <c r="H3" s="97"/>
      <c r="I3" s="97"/>
      <c r="J3" s="98"/>
    </row>
    <row r="4" spans="1:10" x14ac:dyDescent="0.25">
      <c r="A4" s="3">
        <f>Summary!B5</f>
        <v>2</v>
      </c>
      <c r="B4" s="6" t="str">
        <f>Summary!C5</f>
        <v>Capital Cost ($)</v>
      </c>
      <c r="C4" s="4"/>
      <c r="D4" s="6"/>
      <c r="E4" s="16">
        <f>Summary!F5</f>
        <v>246000000</v>
      </c>
      <c r="F4" s="4"/>
      <c r="G4" s="99"/>
      <c r="H4" s="100"/>
      <c r="I4" s="100"/>
      <c r="J4" s="101"/>
    </row>
    <row r="5" spans="1:10" x14ac:dyDescent="0.25">
      <c r="A5" s="3">
        <f>Summary!B6</f>
        <v>3</v>
      </c>
      <c r="B5" s="6" t="str">
        <f>Summary!C6</f>
        <v xml:space="preserve">Interest Rate (%) =  </v>
      </c>
      <c r="C5" s="4"/>
      <c r="D5" s="6"/>
      <c r="E5" s="18">
        <f>Summary!F6</f>
        <v>2.7199999999999998E-2</v>
      </c>
      <c r="F5" s="4"/>
      <c r="G5" s="99"/>
      <c r="H5" s="100"/>
      <c r="I5" s="100"/>
      <c r="J5" s="101"/>
    </row>
    <row r="6" spans="1:10" x14ac:dyDescent="0.25">
      <c r="A6" s="3">
        <f>Summary!B7</f>
        <v>4</v>
      </c>
      <c r="B6" s="6" t="str">
        <f>Summary!C7</f>
        <v>Term (Years) =</v>
      </c>
      <c r="C6" s="4"/>
      <c r="D6" s="6"/>
      <c r="E6" s="16">
        <v>15</v>
      </c>
      <c r="F6" s="4"/>
      <c r="G6" s="99"/>
      <c r="H6" s="100"/>
      <c r="I6" s="100"/>
      <c r="J6" s="101"/>
    </row>
    <row r="7" spans="1:10" x14ac:dyDescent="0.25">
      <c r="A7" s="3">
        <f>Summary!B8</f>
        <v>5</v>
      </c>
      <c r="B7" s="6" t="str">
        <f>Summary!C8</f>
        <v xml:space="preserve">Annualized Capital Cost = </v>
      </c>
      <c r="C7" s="4"/>
      <c r="D7" s="6"/>
      <c r="E7" s="7">
        <f>Summary!F8</f>
        <v>12100768.640900558</v>
      </c>
      <c r="F7" s="4"/>
      <c r="G7" s="99"/>
      <c r="H7" s="100"/>
      <c r="I7" s="100"/>
      <c r="J7" s="101"/>
    </row>
    <row r="8" spans="1:10" x14ac:dyDescent="0.25">
      <c r="A8" s="3">
        <f>Summary!B9</f>
        <v>6</v>
      </c>
      <c r="B8" s="6" t="str">
        <f>Summary!C9</f>
        <v>First year O&amp;M costs ($)=</v>
      </c>
      <c r="C8" s="4"/>
      <c r="D8" s="6"/>
      <c r="E8" s="16">
        <f>Summary!F9</f>
        <v>200000</v>
      </c>
      <c r="F8" s="4"/>
      <c r="G8" s="99"/>
      <c r="H8" s="100"/>
      <c r="I8" s="100"/>
      <c r="J8" s="101"/>
    </row>
    <row r="9" spans="1:10" x14ac:dyDescent="0.25">
      <c r="A9" s="3">
        <f>Summary!B10</f>
        <v>7</v>
      </c>
      <c r="B9" s="6" t="str">
        <f>Summary!C10</f>
        <v xml:space="preserve">Inflation rate for O&amp;M cost projections = </v>
      </c>
      <c r="C9" s="4"/>
      <c r="D9" s="6"/>
      <c r="E9" s="18">
        <f>Summary!F10</f>
        <v>0.03</v>
      </c>
      <c r="F9" s="4"/>
      <c r="G9" s="102"/>
      <c r="H9" s="103"/>
      <c r="I9" s="103"/>
      <c r="J9" s="104"/>
    </row>
    <row r="10" spans="1:10" ht="16.5" thickBot="1" x14ac:dyDescent="0.3">
      <c r="A10" s="17">
        <f>Summary!B11</f>
        <v>8</v>
      </c>
      <c r="B10" s="8" t="str">
        <f>Summary!C11</f>
        <v>Enter First Fiscal Year of Operation</v>
      </c>
      <c r="C10" s="9"/>
      <c r="D10" s="8"/>
      <c r="E10" s="86">
        <f>Summary!F11</f>
        <v>2029</v>
      </c>
      <c r="F10" s="88"/>
      <c r="G10" s="84"/>
      <c r="H10" s="84"/>
      <c r="I10" s="84"/>
      <c r="J10" s="84"/>
    </row>
    <row r="11" spans="1:10" x14ac:dyDescent="0.25">
      <c r="A11" s="10"/>
      <c r="B11" s="6"/>
      <c r="C11" s="4"/>
      <c r="D11" s="6"/>
      <c r="E11" s="11"/>
      <c r="F11" s="4"/>
      <c r="G11" s="5"/>
      <c r="H11" s="4"/>
      <c r="I11" s="4"/>
    </row>
    <row r="12" spans="1:10" s="12" customFormat="1" x14ac:dyDescent="0.25">
      <c r="A12" s="95" t="s">
        <v>51</v>
      </c>
      <c r="B12" s="95"/>
      <c r="C12" s="95"/>
      <c r="D12" s="95"/>
      <c r="E12" s="95"/>
      <c r="F12" s="95"/>
      <c r="G12" s="95"/>
      <c r="H12" s="95"/>
      <c r="I12" s="95"/>
      <c r="J12" s="95"/>
    </row>
    <row r="13" spans="1:10" s="13" customFormat="1" ht="31.5" x14ac:dyDescent="0.25">
      <c r="A13" s="27"/>
      <c r="B13" s="27" t="s">
        <v>17</v>
      </c>
      <c r="C13" s="27" t="s">
        <v>40</v>
      </c>
      <c r="D13" s="27" t="s">
        <v>41</v>
      </c>
      <c r="E13" s="27" t="s">
        <v>42</v>
      </c>
      <c r="F13" s="27" t="s">
        <v>43</v>
      </c>
      <c r="G13" s="28" t="s">
        <v>44</v>
      </c>
      <c r="H13" s="27" t="s">
        <v>45</v>
      </c>
      <c r="I13" s="27" t="s">
        <v>46</v>
      </c>
      <c r="J13" s="27" t="s">
        <v>47</v>
      </c>
    </row>
    <row r="14" spans="1:10" x14ac:dyDescent="0.25">
      <c r="A14" s="29"/>
      <c r="B14" s="30"/>
      <c r="C14" s="29" t="s">
        <v>18</v>
      </c>
      <c r="D14" s="31" t="s">
        <v>28</v>
      </c>
      <c r="E14" s="29" t="s">
        <v>28</v>
      </c>
      <c r="F14" s="29" t="s">
        <v>26</v>
      </c>
      <c r="G14" s="32" t="s">
        <v>26</v>
      </c>
      <c r="H14" s="29" t="s">
        <v>26</v>
      </c>
      <c r="I14" s="29" t="s">
        <v>28</v>
      </c>
      <c r="J14" s="29" t="s">
        <v>28</v>
      </c>
    </row>
    <row r="15" spans="1:10" x14ac:dyDescent="0.25">
      <c r="A15" s="49">
        <f>Summary!B15</f>
        <v>0</v>
      </c>
      <c r="B15" s="49">
        <f>Summary!C15</f>
        <v>2024</v>
      </c>
      <c r="C15" s="33">
        <f>Summary!D15</f>
        <v>0</v>
      </c>
      <c r="D15" s="34">
        <f>IF(A15=0,0,$E$7)</f>
        <v>0</v>
      </c>
      <c r="E15" s="34">
        <f>IF(A15=0,0,$E$8*(1+$E$9)^(B15-$E$10))</f>
        <v>0</v>
      </c>
      <c r="F15" s="34">
        <f>IFERROR((D15+E15)/C15,0)</f>
        <v>0</v>
      </c>
      <c r="G15" s="35">
        <f>Summary!E15</f>
        <v>1279</v>
      </c>
      <c r="H15" s="34">
        <f>IF(OR(A15=0,A15&gt;$E$6),0,ROUND(IF(G15&gt;=F15,0,MIN(F15-G15,475)),0))</f>
        <v>0</v>
      </c>
      <c r="I15" s="34">
        <f>H15*C15</f>
        <v>0</v>
      </c>
      <c r="J15" s="34">
        <f>I15/(1.04^(B15-$B$15))</f>
        <v>0</v>
      </c>
    </row>
    <row r="16" spans="1:10" x14ac:dyDescent="0.25">
      <c r="A16" s="49">
        <f>Summary!B16</f>
        <v>0</v>
      </c>
      <c r="B16" s="49">
        <f>Summary!C16</f>
        <v>2025</v>
      </c>
      <c r="C16" s="33">
        <f>Summary!D16</f>
        <v>0</v>
      </c>
      <c r="D16" s="34">
        <f t="shared" ref="D16:D43" si="0">IF(A16=0,0,$E$7)</f>
        <v>0</v>
      </c>
      <c r="E16" s="34">
        <f t="shared" ref="E16:E42" si="1">IF(A16=0,0,$E$8*(1+$E$9)^(B16-$E$10))</f>
        <v>0</v>
      </c>
      <c r="F16" s="34">
        <f t="shared" ref="F16:F40" si="2">IFERROR((D16+E16)/C16,0)</f>
        <v>0</v>
      </c>
      <c r="G16" s="35">
        <f>Summary!E16</f>
        <v>1380</v>
      </c>
      <c r="H16" s="34">
        <f t="shared" ref="H16:H43" si="3">IF(OR(A16=0,A16&gt;$E$6),0,ROUND(IF(G16&gt;=F16,0,MIN(F16-G16,475)),0))</f>
        <v>0</v>
      </c>
      <c r="I16" s="34">
        <f t="shared" ref="I16:I43" si="4">H16*C16</f>
        <v>0</v>
      </c>
      <c r="J16" s="34">
        <f t="shared" ref="J16:J43" si="5">I16/(1.04^(B16-$B$15))</f>
        <v>0</v>
      </c>
    </row>
    <row r="17" spans="1:10" x14ac:dyDescent="0.25">
      <c r="A17" s="49">
        <f>Summary!B17</f>
        <v>0</v>
      </c>
      <c r="B17" s="49">
        <f>Summary!C17</f>
        <v>2026</v>
      </c>
      <c r="C17" s="33">
        <f>Summary!D17</f>
        <v>0</v>
      </c>
      <c r="D17" s="34">
        <f t="shared" si="0"/>
        <v>0</v>
      </c>
      <c r="E17" s="34">
        <f>IF(A17=0,0,$E$8*(1+$E$9)^(B17-$E$10))</f>
        <v>0</v>
      </c>
      <c r="F17" s="34">
        <f t="shared" si="2"/>
        <v>0</v>
      </c>
      <c r="G17" s="35">
        <f>Summary!E17</f>
        <v>1473</v>
      </c>
      <c r="H17" s="34">
        <f t="shared" si="3"/>
        <v>0</v>
      </c>
      <c r="I17" s="34">
        <f t="shared" si="4"/>
        <v>0</v>
      </c>
      <c r="J17" s="34">
        <f>I17/(1.04^(B17-$B$15))</f>
        <v>0</v>
      </c>
    </row>
    <row r="18" spans="1:10" x14ac:dyDescent="0.25">
      <c r="A18" s="49">
        <f>Summary!B18</f>
        <v>0</v>
      </c>
      <c r="B18" s="49">
        <f>Summary!C18</f>
        <v>2027</v>
      </c>
      <c r="C18" s="33">
        <f>Summary!D18</f>
        <v>0</v>
      </c>
      <c r="D18" s="34">
        <f t="shared" si="0"/>
        <v>0</v>
      </c>
      <c r="E18" s="34">
        <f t="shared" si="1"/>
        <v>0</v>
      </c>
      <c r="F18" s="34">
        <f t="shared" si="2"/>
        <v>0</v>
      </c>
      <c r="G18" s="35">
        <f>Summary!E18</f>
        <v>1565</v>
      </c>
      <c r="H18" s="34">
        <f t="shared" si="3"/>
        <v>0</v>
      </c>
      <c r="I18" s="34">
        <f t="shared" si="4"/>
        <v>0</v>
      </c>
      <c r="J18" s="34">
        <f t="shared" si="5"/>
        <v>0</v>
      </c>
    </row>
    <row r="19" spans="1:10" x14ac:dyDescent="0.25">
      <c r="A19" s="49">
        <f>Summary!B19</f>
        <v>0</v>
      </c>
      <c r="B19" s="49">
        <f>Summary!C19</f>
        <v>2028</v>
      </c>
      <c r="C19" s="33">
        <f>Summary!D19</f>
        <v>0</v>
      </c>
      <c r="D19" s="34">
        <f t="shared" si="0"/>
        <v>0</v>
      </c>
      <c r="E19" s="34">
        <f t="shared" si="1"/>
        <v>0</v>
      </c>
      <c r="F19" s="34">
        <f t="shared" si="2"/>
        <v>0</v>
      </c>
      <c r="G19" s="35">
        <f>Summary!E19</f>
        <v>1648</v>
      </c>
      <c r="H19" s="34">
        <f t="shared" si="3"/>
        <v>0</v>
      </c>
      <c r="I19" s="34">
        <f t="shared" si="4"/>
        <v>0</v>
      </c>
      <c r="J19" s="34">
        <f t="shared" si="5"/>
        <v>0</v>
      </c>
    </row>
    <row r="20" spans="1:10" x14ac:dyDescent="0.25">
      <c r="A20" s="49">
        <f>Summary!B20</f>
        <v>1</v>
      </c>
      <c r="B20" s="49">
        <f>Summary!C20</f>
        <v>2029</v>
      </c>
      <c r="C20" s="33">
        <f>Summary!D20</f>
        <v>2370</v>
      </c>
      <c r="D20" s="34">
        <f t="shared" si="0"/>
        <v>12100768.640900558</v>
      </c>
      <c r="E20" s="34">
        <f t="shared" si="1"/>
        <v>200000</v>
      </c>
      <c r="F20" s="34">
        <f t="shared" si="2"/>
        <v>5190.1977387766065</v>
      </c>
      <c r="G20" s="35">
        <f>Summary!E20</f>
        <v>1739</v>
      </c>
      <c r="H20" s="34">
        <f t="shared" si="3"/>
        <v>475</v>
      </c>
      <c r="I20" s="34">
        <f t="shared" si="4"/>
        <v>1125750</v>
      </c>
      <c r="J20" s="34">
        <f t="shared" si="5"/>
        <v>925284.44043434004</v>
      </c>
    </row>
    <row r="21" spans="1:10" x14ac:dyDescent="0.25">
      <c r="A21" s="49">
        <f>Summary!B21</f>
        <v>2</v>
      </c>
      <c r="B21" s="49">
        <f>Summary!C21</f>
        <v>2030</v>
      </c>
      <c r="C21" s="33">
        <f>Summary!D21</f>
        <v>2370</v>
      </c>
      <c r="D21" s="34">
        <f t="shared" si="0"/>
        <v>12100768.640900558</v>
      </c>
      <c r="E21" s="34">
        <f>IF(A21=0,0,$E$8*(1+$E$9)^(B21-$E$10))</f>
        <v>206000</v>
      </c>
      <c r="F21" s="34">
        <f t="shared" si="2"/>
        <v>5192.7293843462267</v>
      </c>
      <c r="G21" s="35">
        <f>Summary!E21</f>
        <v>1816</v>
      </c>
      <c r="H21" s="34">
        <f t="shared" si="3"/>
        <v>475</v>
      </c>
      <c r="I21" s="34">
        <f t="shared" si="4"/>
        <v>1125750</v>
      </c>
      <c r="J21" s="34">
        <f t="shared" si="5"/>
        <v>889696.57734071149</v>
      </c>
    </row>
    <row r="22" spans="1:10" x14ac:dyDescent="0.25">
      <c r="A22" s="49">
        <f>Summary!B22</f>
        <v>3</v>
      </c>
      <c r="B22" s="49">
        <f>Summary!C22</f>
        <v>2031</v>
      </c>
      <c r="C22" s="33">
        <f>Summary!D22</f>
        <v>2370</v>
      </c>
      <c r="D22" s="34">
        <f t="shared" si="0"/>
        <v>12100768.640900558</v>
      </c>
      <c r="E22" s="34">
        <f t="shared" si="1"/>
        <v>212180</v>
      </c>
      <c r="F22" s="34">
        <f t="shared" si="2"/>
        <v>5195.3369792829362</v>
      </c>
      <c r="G22" s="35">
        <f>Summary!E22</f>
        <v>1903</v>
      </c>
      <c r="H22" s="34">
        <f t="shared" si="3"/>
        <v>475</v>
      </c>
      <c r="I22" s="34">
        <f t="shared" si="4"/>
        <v>1125750</v>
      </c>
      <c r="J22" s="34">
        <f t="shared" si="5"/>
        <v>855477.47821222269</v>
      </c>
    </row>
    <row r="23" spans="1:10" x14ac:dyDescent="0.25">
      <c r="A23" s="49">
        <f>Summary!B23</f>
        <v>4</v>
      </c>
      <c r="B23" s="49">
        <f>Summary!C23</f>
        <v>2032</v>
      </c>
      <c r="C23" s="33">
        <f>Summary!D23</f>
        <v>2370</v>
      </c>
      <c r="D23" s="34">
        <f t="shared" si="0"/>
        <v>12100768.640900558</v>
      </c>
      <c r="E23" s="34">
        <f t="shared" si="1"/>
        <v>218545.4</v>
      </c>
      <c r="F23" s="34">
        <f t="shared" si="2"/>
        <v>5198.0228020677459</v>
      </c>
      <c r="G23" s="35">
        <f>Summary!E23</f>
        <v>1985</v>
      </c>
      <c r="H23" s="34">
        <f t="shared" si="3"/>
        <v>475</v>
      </c>
      <c r="I23" s="34">
        <f t="shared" si="4"/>
        <v>1125750</v>
      </c>
      <c r="J23" s="34">
        <f t="shared" si="5"/>
        <v>822574.49828098319</v>
      </c>
    </row>
    <row r="24" spans="1:10" x14ac:dyDescent="0.25">
      <c r="A24" s="49">
        <f>Summary!B24</f>
        <v>5</v>
      </c>
      <c r="B24" s="49">
        <f>Summary!C24</f>
        <v>2033</v>
      </c>
      <c r="C24" s="33">
        <f>Summary!D24</f>
        <v>2370</v>
      </c>
      <c r="D24" s="34">
        <f t="shared" si="0"/>
        <v>12100768.640900558</v>
      </c>
      <c r="E24" s="34">
        <f t="shared" si="1"/>
        <v>225101.76199999999</v>
      </c>
      <c r="F24" s="34">
        <f t="shared" si="2"/>
        <v>5200.7891995361006</v>
      </c>
      <c r="G24" s="35">
        <f>Summary!E24</f>
        <v>2045</v>
      </c>
      <c r="H24" s="34">
        <f t="shared" si="3"/>
        <v>475</v>
      </c>
      <c r="I24" s="34">
        <f t="shared" si="4"/>
        <v>1125750</v>
      </c>
      <c r="J24" s="34">
        <f t="shared" si="5"/>
        <v>790937.01757786842</v>
      </c>
    </row>
    <row r="25" spans="1:10" x14ac:dyDescent="0.25">
      <c r="A25" s="49">
        <f>Summary!B25</f>
        <v>6</v>
      </c>
      <c r="B25" s="49">
        <f>Summary!C25</f>
        <v>2034</v>
      </c>
      <c r="C25" s="33">
        <f>Summary!D25</f>
        <v>2370</v>
      </c>
      <c r="D25" s="34">
        <f t="shared" si="0"/>
        <v>12100768.640900558</v>
      </c>
      <c r="E25" s="34">
        <f t="shared" si="1"/>
        <v>231854.81485999995</v>
      </c>
      <c r="F25" s="34">
        <f t="shared" si="2"/>
        <v>5203.6385889285048</v>
      </c>
      <c r="G25" s="35">
        <f>Summary!E25</f>
        <v>2106</v>
      </c>
      <c r="H25" s="34">
        <f t="shared" si="3"/>
        <v>475</v>
      </c>
      <c r="I25" s="34">
        <f t="shared" si="4"/>
        <v>1125750</v>
      </c>
      <c r="J25" s="34">
        <f t="shared" si="5"/>
        <v>760516.36305564269</v>
      </c>
    </row>
    <row r="26" spans="1:10" x14ac:dyDescent="0.25">
      <c r="A26" s="49">
        <f>Summary!B26</f>
        <v>7</v>
      </c>
      <c r="B26" s="49">
        <f>Summary!C26</f>
        <v>2035</v>
      </c>
      <c r="C26" s="33">
        <f>Summary!D26</f>
        <v>2370</v>
      </c>
      <c r="D26" s="34">
        <f t="shared" si="0"/>
        <v>12100768.640900558</v>
      </c>
      <c r="E26" s="34">
        <f t="shared" si="1"/>
        <v>238810.45930579997</v>
      </c>
      <c r="F26" s="34">
        <f t="shared" si="2"/>
        <v>5206.5734600026826</v>
      </c>
      <c r="G26" s="35">
        <f>Summary!E26</f>
        <v>2169</v>
      </c>
      <c r="H26" s="34">
        <f t="shared" si="3"/>
        <v>475</v>
      </c>
      <c r="I26" s="34">
        <f t="shared" si="4"/>
        <v>1125750</v>
      </c>
      <c r="J26" s="34">
        <f t="shared" si="5"/>
        <v>731265.73370734882</v>
      </c>
    </row>
    <row r="27" spans="1:10" x14ac:dyDescent="0.25">
      <c r="A27" s="49">
        <f>Summary!B27</f>
        <v>8</v>
      </c>
      <c r="B27" s="49">
        <f>Summary!C27</f>
        <v>2036</v>
      </c>
      <c r="C27" s="33">
        <f>Summary!D27</f>
        <v>2370</v>
      </c>
      <c r="D27" s="34">
        <f t="shared" si="0"/>
        <v>12100768.640900558</v>
      </c>
      <c r="E27" s="34">
        <f t="shared" si="1"/>
        <v>245974.773084974</v>
      </c>
      <c r="F27" s="34">
        <f t="shared" si="2"/>
        <v>5209.5963772090854</v>
      </c>
      <c r="G27" s="35">
        <f>Summary!E27</f>
        <v>2234</v>
      </c>
      <c r="H27" s="34">
        <f t="shared" si="3"/>
        <v>475</v>
      </c>
      <c r="I27" s="34">
        <f t="shared" si="4"/>
        <v>1125750</v>
      </c>
      <c r="J27" s="34">
        <f>I27/(1.04^(B27-$B$15))</f>
        <v>703140.12856475834</v>
      </c>
    </row>
    <row r="28" spans="1:10" x14ac:dyDescent="0.25">
      <c r="A28" s="49">
        <f>Summary!B28</f>
        <v>9</v>
      </c>
      <c r="B28" s="49">
        <f>Summary!C28</f>
        <v>2037</v>
      </c>
      <c r="C28" s="33">
        <f>Summary!D28</f>
        <v>2370</v>
      </c>
      <c r="D28" s="34">
        <f t="shared" si="0"/>
        <v>12100768.640900558</v>
      </c>
      <c r="E28" s="34">
        <f t="shared" si="1"/>
        <v>253354.01627752319</v>
      </c>
      <c r="F28" s="34">
        <f t="shared" si="2"/>
        <v>5212.70998193168</v>
      </c>
      <c r="G28" s="35">
        <f>Summary!E28</f>
        <v>2301</v>
      </c>
      <c r="H28" s="34">
        <f t="shared" si="3"/>
        <v>475</v>
      </c>
      <c r="I28" s="34">
        <f t="shared" si="4"/>
        <v>1125750</v>
      </c>
      <c r="J28" s="34">
        <f t="shared" si="5"/>
        <v>676096.2774661138</v>
      </c>
    </row>
    <row r="29" spans="1:10" x14ac:dyDescent="0.25">
      <c r="A29" s="49">
        <f>Summary!B29</f>
        <v>10</v>
      </c>
      <c r="B29" s="49">
        <f>Summary!C29</f>
        <v>2038</v>
      </c>
      <c r="C29" s="33">
        <f>Summary!D29</f>
        <v>2370</v>
      </c>
      <c r="D29" s="34">
        <f t="shared" si="0"/>
        <v>12100768.640900558</v>
      </c>
      <c r="E29" s="34">
        <f t="shared" si="1"/>
        <v>260954.6367658489</v>
      </c>
      <c r="F29" s="34">
        <f t="shared" si="2"/>
        <v>5215.9169947959526</v>
      </c>
      <c r="G29" s="35">
        <f>Summary!E29</f>
        <v>2370</v>
      </c>
      <c r="H29" s="34">
        <f t="shared" si="3"/>
        <v>475</v>
      </c>
      <c r="I29" s="34">
        <f t="shared" si="4"/>
        <v>1125750</v>
      </c>
      <c r="J29" s="34">
        <f t="shared" si="5"/>
        <v>650092.57448664785</v>
      </c>
    </row>
    <row r="30" spans="1:10" x14ac:dyDescent="0.25">
      <c r="A30" s="49">
        <f>Summary!B30</f>
        <v>11</v>
      </c>
      <c r="B30" s="49">
        <f>Summary!C30</f>
        <v>2039</v>
      </c>
      <c r="C30" s="33">
        <f>Summary!D30</f>
        <v>2370</v>
      </c>
      <c r="D30" s="34">
        <f t="shared" si="0"/>
        <v>12100768.640900558</v>
      </c>
      <c r="E30" s="34">
        <f t="shared" si="1"/>
        <v>268783.27586882433</v>
      </c>
      <c r="F30" s="34">
        <f t="shared" si="2"/>
        <v>5219.2202180461527</v>
      </c>
      <c r="G30" s="35">
        <f>Summary!E30</f>
        <v>2441</v>
      </c>
      <c r="H30" s="34">
        <f t="shared" si="3"/>
        <v>475</v>
      </c>
      <c r="I30" s="34">
        <f t="shared" si="4"/>
        <v>1125750</v>
      </c>
      <c r="J30" s="34">
        <f t="shared" si="5"/>
        <v>625089.01392946916</v>
      </c>
    </row>
    <row r="31" spans="1:10" x14ac:dyDescent="0.25">
      <c r="A31" s="49">
        <f>Summary!B31</f>
        <v>12</v>
      </c>
      <c r="B31" s="49">
        <f>Summary!C31</f>
        <v>2040</v>
      </c>
      <c r="C31" s="33">
        <f>Summary!D31</f>
        <v>2370</v>
      </c>
      <c r="D31" s="34">
        <f t="shared" si="0"/>
        <v>12100768.640900558</v>
      </c>
      <c r="E31" s="34">
        <f t="shared" si="1"/>
        <v>276846.77414488909</v>
      </c>
      <c r="F31" s="34">
        <f t="shared" si="2"/>
        <v>5222.6225379938596</v>
      </c>
      <c r="G31" s="35">
        <f>Summary!E31</f>
        <v>2514</v>
      </c>
      <c r="H31" s="34">
        <f t="shared" si="3"/>
        <v>475</v>
      </c>
      <c r="I31" s="34">
        <f t="shared" si="4"/>
        <v>1125750</v>
      </c>
      <c r="J31" s="34">
        <f t="shared" si="5"/>
        <v>601047.12877833564</v>
      </c>
    </row>
    <row r="32" spans="1:10" x14ac:dyDescent="0.25">
      <c r="A32" s="49">
        <f>Summary!B32</f>
        <v>13</v>
      </c>
      <c r="B32" s="49">
        <f>Summary!C32</f>
        <v>2041</v>
      </c>
      <c r="C32" s="33">
        <f>Summary!D32</f>
        <v>2370</v>
      </c>
      <c r="D32" s="34">
        <f t="shared" si="0"/>
        <v>12100768.640900558</v>
      </c>
      <c r="E32" s="34">
        <f t="shared" si="1"/>
        <v>285152.17736923572</v>
      </c>
      <c r="F32" s="34">
        <f t="shared" si="2"/>
        <v>5226.1269275399973</v>
      </c>
      <c r="G32" s="35">
        <f>Summary!E32</f>
        <v>2589</v>
      </c>
      <c r="H32" s="34">
        <f t="shared" si="3"/>
        <v>475</v>
      </c>
      <c r="I32" s="34">
        <f t="shared" si="4"/>
        <v>1125750</v>
      </c>
      <c r="J32" s="34">
        <f t="shared" si="5"/>
        <v>577929.93151763035</v>
      </c>
    </row>
    <row r="33" spans="1:11" x14ac:dyDescent="0.25">
      <c r="A33" s="49">
        <f>Summary!B33</f>
        <v>14</v>
      </c>
      <c r="B33" s="49">
        <f>Summary!C33</f>
        <v>2042</v>
      </c>
      <c r="C33" s="33">
        <f>Summary!D33</f>
        <v>2370</v>
      </c>
      <c r="D33" s="34">
        <f t="shared" si="0"/>
        <v>12100768.640900558</v>
      </c>
      <c r="E33" s="34">
        <f t="shared" si="1"/>
        <v>293706.74269031279</v>
      </c>
      <c r="F33" s="34">
        <f t="shared" si="2"/>
        <v>5229.7364487725199</v>
      </c>
      <c r="G33" s="35">
        <f>Summary!E33</f>
        <v>2667</v>
      </c>
      <c r="H33" s="34">
        <f t="shared" si="3"/>
        <v>475</v>
      </c>
      <c r="I33" s="34">
        <f t="shared" si="4"/>
        <v>1125750</v>
      </c>
      <c r="J33" s="34">
        <f t="shared" si="5"/>
        <v>555701.85722849064</v>
      </c>
    </row>
    <row r="34" spans="1:11" x14ac:dyDescent="0.25">
      <c r="A34" s="49">
        <f>Summary!B34</f>
        <v>15</v>
      </c>
      <c r="B34" s="49">
        <f>Summary!C34</f>
        <v>2043</v>
      </c>
      <c r="C34" s="33">
        <f>Summary!D34</f>
        <v>2370</v>
      </c>
      <c r="D34" s="34">
        <f t="shared" si="0"/>
        <v>12100768.640900558</v>
      </c>
      <c r="E34" s="34">
        <f t="shared" si="1"/>
        <v>302517.9449710222</v>
      </c>
      <c r="F34" s="34">
        <f t="shared" si="2"/>
        <v>5233.4542556420174</v>
      </c>
      <c r="G34" s="35">
        <f>Summary!E34</f>
        <v>2747</v>
      </c>
      <c r="H34" s="34">
        <f t="shared" si="3"/>
        <v>475</v>
      </c>
      <c r="I34" s="34">
        <f t="shared" si="4"/>
        <v>1125750</v>
      </c>
      <c r="J34" s="34">
        <f t="shared" si="5"/>
        <v>534328.70887354878</v>
      </c>
      <c r="K34" s="14"/>
    </row>
    <row r="35" spans="1:11" x14ac:dyDescent="0.25">
      <c r="A35" s="49">
        <f>Summary!B35</f>
        <v>16</v>
      </c>
      <c r="B35" s="49">
        <f>Summary!C35</f>
        <v>2044</v>
      </c>
      <c r="C35" s="33">
        <f>Summary!D35</f>
        <v>2370</v>
      </c>
      <c r="D35" s="34">
        <f t="shared" si="0"/>
        <v>12100768.640900558</v>
      </c>
      <c r="E35" s="34">
        <f t="shared" si="1"/>
        <v>311593.48332015291</v>
      </c>
      <c r="F35" s="34">
        <f t="shared" si="2"/>
        <v>5237.2835967175988</v>
      </c>
      <c r="G35" s="35">
        <f>Summary!E35</f>
        <v>2829</v>
      </c>
      <c r="H35" s="34">
        <f t="shared" si="3"/>
        <v>0</v>
      </c>
      <c r="I35" s="34">
        <f t="shared" si="4"/>
        <v>0</v>
      </c>
      <c r="J35" s="34">
        <f t="shared" si="5"/>
        <v>0</v>
      </c>
    </row>
    <row r="36" spans="1:11" x14ac:dyDescent="0.25">
      <c r="A36" s="49">
        <f>Summary!B36</f>
        <v>17</v>
      </c>
      <c r="B36" s="49">
        <f>Summary!C36</f>
        <v>2045</v>
      </c>
      <c r="C36" s="33">
        <f>Summary!D36</f>
        <v>2370</v>
      </c>
      <c r="D36" s="34">
        <f t="shared" si="0"/>
        <v>12100768.640900558</v>
      </c>
      <c r="E36" s="34">
        <f t="shared" si="1"/>
        <v>320941.28781975742</v>
      </c>
      <c r="F36" s="34">
        <f t="shared" si="2"/>
        <v>5241.2278180254498</v>
      </c>
      <c r="G36" s="35">
        <f>Summary!E36</f>
        <v>2914</v>
      </c>
      <c r="H36" s="34">
        <f t="shared" si="3"/>
        <v>0</v>
      </c>
      <c r="I36" s="34">
        <f t="shared" si="4"/>
        <v>0</v>
      </c>
      <c r="J36" s="34">
        <f t="shared" si="5"/>
        <v>0</v>
      </c>
    </row>
    <row r="37" spans="1:11" x14ac:dyDescent="0.25">
      <c r="A37" s="49">
        <f>Summary!B37</f>
        <v>18</v>
      </c>
      <c r="B37" s="49">
        <f>Summary!C37</f>
        <v>2046</v>
      </c>
      <c r="C37" s="33">
        <f>Summary!D37</f>
        <v>2370</v>
      </c>
      <c r="D37" s="34">
        <f t="shared" si="0"/>
        <v>12100768.640900558</v>
      </c>
      <c r="E37" s="34">
        <f t="shared" si="1"/>
        <v>330569.52645435015</v>
      </c>
      <c r="F37" s="34">
        <f t="shared" si="2"/>
        <v>5245.2903659725353</v>
      </c>
      <c r="G37" s="35">
        <f>Summary!E37</f>
        <v>3001</v>
      </c>
      <c r="H37" s="34">
        <f t="shared" si="3"/>
        <v>0</v>
      </c>
      <c r="I37" s="34">
        <f t="shared" si="4"/>
        <v>0</v>
      </c>
      <c r="J37" s="34">
        <f t="shared" si="5"/>
        <v>0</v>
      </c>
    </row>
    <row r="38" spans="1:11" x14ac:dyDescent="0.25">
      <c r="A38" s="49">
        <f>Summary!B38</f>
        <v>19</v>
      </c>
      <c r="B38" s="49">
        <f>Summary!C38</f>
        <v>2047</v>
      </c>
      <c r="C38" s="33">
        <f>Summary!D38</f>
        <v>2370</v>
      </c>
      <c r="D38" s="34">
        <f t="shared" si="0"/>
        <v>12100768.640900558</v>
      </c>
      <c r="E38" s="34">
        <f t="shared" si="1"/>
        <v>340486.61224798067</v>
      </c>
      <c r="F38" s="34">
        <f t="shared" si="2"/>
        <v>5249.4747903580337</v>
      </c>
      <c r="G38" s="35">
        <f>Summary!E38</f>
        <v>3091</v>
      </c>
      <c r="H38" s="34">
        <f t="shared" si="3"/>
        <v>0</v>
      </c>
      <c r="I38" s="34">
        <f t="shared" si="4"/>
        <v>0</v>
      </c>
      <c r="J38" s="34">
        <f t="shared" si="5"/>
        <v>0</v>
      </c>
    </row>
    <row r="39" spans="1:11" x14ac:dyDescent="0.25">
      <c r="A39" s="49">
        <f>Summary!B39</f>
        <v>20</v>
      </c>
      <c r="B39" s="49">
        <f>Summary!C39</f>
        <v>2048</v>
      </c>
      <c r="C39" s="33">
        <f>Summary!D39</f>
        <v>2370</v>
      </c>
      <c r="D39" s="34">
        <f t="shared" si="0"/>
        <v>12100768.640900558</v>
      </c>
      <c r="E39" s="34">
        <f t="shared" si="1"/>
        <v>350701.21061542007</v>
      </c>
      <c r="F39" s="34">
        <f t="shared" si="2"/>
        <v>5253.7847474750961</v>
      </c>
      <c r="G39" s="35">
        <f>Summary!E39</f>
        <v>3184</v>
      </c>
      <c r="H39" s="34">
        <f t="shared" si="3"/>
        <v>0</v>
      </c>
      <c r="I39" s="34">
        <f t="shared" si="4"/>
        <v>0</v>
      </c>
      <c r="J39" s="34">
        <f t="shared" si="5"/>
        <v>0</v>
      </c>
    </row>
    <row r="40" spans="1:11" x14ac:dyDescent="0.25">
      <c r="A40" s="49">
        <f>Summary!B40</f>
        <v>21</v>
      </c>
      <c r="B40" s="49">
        <f>Summary!C40</f>
        <v>2049</v>
      </c>
      <c r="C40" s="33">
        <f>Summary!D40</f>
        <v>2370</v>
      </c>
      <c r="D40" s="34">
        <f t="shared" si="0"/>
        <v>12100768.640900558</v>
      </c>
      <c r="E40" s="34">
        <f t="shared" si="1"/>
        <v>361222.24693388265</v>
      </c>
      <c r="F40" s="34">
        <f t="shared" si="2"/>
        <v>5258.2240033056714</v>
      </c>
      <c r="G40" s="35">
        <f>Summary!E40</f>
        <v>3279.52</v>
      </c>
      <c r="H40" s="34">
        <f t="shared" si="3"/>
        <v>0</v>
      </c>
      <c r="I40" s="34">
        <f t="shared" si="4"/>
        <v>0</v>
      </c>
      <c r="J40" s="34">
        <f t="shared" si="5"/>
        <v>0</v>
      </c>
    </row>
    <row r="41" spans="1:11" x14ac:dyDescent="0.25">
      <c r="A41" s="49">
        <f>Summary!B41</f>
        <v>22</v>
      </c>
      <c r="B41" s="49">
        <f>Summary!C41</f>
        <v>2050</v>
      </c>
      <c r="C41" s="33">
        <f>Summary!D41</f>
        <v>2370</v>
      </c>
      <c r="D41" s="34">
        <f t="shared" si="0"/>
        <v>12100768.640900558</v>
      </c>
      <c r="E41" s="34">
        <f t="shared" si="1"/>
        <v>372058.9143418991</v>
      </c>
      <c r="F41" s="34">
        <f t="shared" ref="F41:F42" si="6">IFERROR((D41+E41)/C41,0)</f>
        <v>5262.7964368111634</v>
      </c>
      <c r="G41" s="35">
        <f>Summary!E41</f>
        <v>3377.9056</v>
      </c>
      <c r="H41" s="34">
        <f t="shared" si="3"/>
        <v>0</v>
      </c>
      <c r="I41" s="34">
        <f t="shared" si="4"/>
        <v>0</v>
      </c>
      <c r="J41" s="34">
        <f t="shared" si="5"/>
        <v>0</v>
      </c>
    </row>
    <row r="42" spans="1:11" x14ac:dyDescent="0.25">
      <c r="A42" s="49">
        <f>Summary!B42</f>
        <v>23</v>
      </c>
      <c r="B42" s="49">
        <f>Summary!C42</f>
        <v>2051</v>
      </c>
      <c r="C42" s="33">
        <f>Summary!D42</f>
        <v>2370</v>
      </c>
      <c r="D42" s="34">
        <f t="shared" si="0"/>
        <v>12100768.640900558</v>
      </c>
      <c r="E42" s="34">
        <f t="shared" si="1"/>
        <v>383220.68177215609</v>
      </c>
      <c r="F42" s="34">
        <f t="shared" si="6"/>
        <v>5267.5060433218205</v>
      </c>
      <c r="G42" s="35">
        <f>Summary!E42</f>
        <v>3479.2427680000001</v>
      </c>
      <c r="H42" s="34">
        <f t="shared" si="3"/>
        <v>0</v>
      </c>
      <c r="I42" s="34">
        <f t="shared" si="4"/>
        <v>0</v>
      </c>
      <c r="J42" s="34">
        <f t="shared" si="5"/>
        <v>0</v>
      </c>
    </row>
    <row r="43" spans="1:11" x14ac:dyDescent="0.25">
      <c r="A43" s="49">
        <f>Summary!B43</f>
        <v>24</v>
      </c>
      <c r="B43" s="49">
        <f>Summary!C43</f>
        <v>2052</v>
      </c>
      <c r="C43" s="33">
        <f>Summary!D43</f>
        <v>2370</v>
      </c>
      <c r="D43" s="34">
        <f t="shared" si="0"/>
        <v>12100768.640900558</v>
      </c>
      <c r="E43" s="34">
        <f>IF(A43=0,0,$E$8*(1+$E$9)^(B43-$E$10))</f>
        <v>394717.30222532077</v>
      </c>
      <c r="F43" s="34">
        <f>IFERROR((D43+E43)/C43,0)</f>
        <v>5272.3569380277968</v>
      </c>
      <c r="G43" s="35">
        <f>Summary!E43</f>
        <v>3583.6200510400004</v>
      </c>
      <c r="H43" s="34">
        <f t="shared" si="3"/>
        <v>0</v>
      </c>
      <c r="I43" s="34">
        <f t="shared" si="4"/>
        <v>0</v>
      </c>
      <c r="J43" s="34">
        <f t="shared" si="5"/>
        <v>0</v>
      </c>
    </row>
    <row r="44" spans="1:11" x14ac:dyDescent="0.25">
      <c r="C44" s="20">
        <f>SUMIFS($C$15:C43,$B$15:$B$43,"&gt;="&amp;Summary!$F$11,$B$15:$B$43,"&lt;"&amp;(Summary!$F$11+$E$6))</f>
        <v>35550</v>
      </c>
      <c r="I44" s="79">
        <f>SUMIFS($I$15:I43,$B$15:$B$43,"&gt;="&amp;$E$10,$B$15:$B$43,"&lt;"&amp;($E$10+$E$6))</f>
        <v>16886250</v>
      </c>
      <c r="J44" s="79">
        <f>SUMIFS($J$15:J43,$B$15:$B$43,"&gt;="&amp;$E$10,$B$15:$B$43,"&lt;"&amp;($E$10+$E$6))</f>
        <v>10699177.729454113</v>
      </c>
    </row>
    <row r="45" spans="1:11" x14ac:dyDescent="0.25">
      <c r="A45" s="36" t="s">
        <v>52</v>
      </c>
    </row>
  </sheetData>
  <mergeCells count="2">
    <mergeCell ref="A12:J12"/>
    <mergeCell ref="G3:J9"/>
  </mergeCells>
  <printOptions horizontalCentered="1" verticalCentered="1"/>
  <pageMargins left="0.45" right="0.45" top="0.5" bottom="0.5" header="0.3" footer="0.3"/>
  <pageSetup scale="7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5"/>
  <sheetViews>
    <sheetView topLeftCell="A13" zoomScale="90" zoomScaleNormal="90" workbookViewId="0">
      <selection activeCell="L46" sqref="L46"/>
    </sheetView>
  </sheetViews>
  <sheetFormatPr defaultColWidth="10.28515625" defaultRowHeight="15.75" x14ac:dyDescent="0.25"/>
  <cols>
    <col min="1" max="1" width="8.28515625" style="2" customWidth="1"/>
    <col min="2" max="2" width="12.42578125" style="2" customWidth="1"/>
    <col min="3" max="3" width="11" style="2" customWidth="1"/>
    <col min="4" max="4" width="12.7109375" style="2" customWidth="1"/>
    <col min="5" max="6" width="14" style="2" bestFit="1" customWidth="1"/>
    <col min="7" max="9" width="16.28515625" style="2" customWidth="1"/>
    <col min="10" max="10" width="13.7109375" style="2" customWidth="1"/>
    <col min="11" max="11" width="15.5703125" style="2" customWidth="1"/>
    <col min="12" max="12" width="13.140625" style="2" bestFit="1" customWidth="1"/>
    <col min="13" max="16384" width="10.28515625" style="2"/>
  </cols>
  <sheetData>
    <row r="1" spans="1:12" ht="25.5" customHeight="1" thickBot="1" x14ac:dyDescent="0.3">
      <c r="A1" s="44" t="s">
        <v>53</v>
      </c>
      <c r="B1" s="1"/>
      <c r="C1" s="1"/>
      <c r="D1" s="1"/>
    </row>
    <row r="2" spans="1:12" x14ac:dyDescent="0.25">
      <c r="A2" s="37" t="str">
        <f>Summary!B3</f>
        <v>Project Cost Data:</v>
      </c>
      <c r="B2" s="40"/>
      <c r="C2" s="38"/>
      <c r="D2" s="38"/>
      <c r="E2" s="39"/>
      <c r="F2" s="4"/>
      <c r="G2" s="5"/>
      <c r="I2" s="4"/>
    </row>
    <row r="3" spans="1:12" ht="15.75" customHeight="1" x14ac:dyDescent="0.25">
      <c r="A3" s="3">
        <f>Summary!B4</f>
        <v>1</v>
      </c>
      <c r="B3" s="6" t="str">
        <f>Summary!C4</f>
        <v>Contract Yield (AFY) =</v>
      </c>
      <c r="C3" s="4"/>
      <c r="D3" s="4"/>
      <c r="E3" s="16">
        <f>Summary!F4</f>
        <v>2370</v>
      </c>
      <c r="F3" s="4"/>
      <c r="G3" s="96" t="s">
        <v>54</v>
      </c>
      <c r="H3" s="97"/>
      <c r="I3" s="98"/>
    </row>
    <row r="4" spans="1:12" x14ac:dyDescent="0.25">
      <c r="A4" s="3">
        <f>Summary!B5</f>
        <v>2</v>
      </c>
      <c r="B4" s="6" t="str">
        <f>Summary!C5</f>
        <v>Capital Cost ($)</v>
      </c>
      <c r="C4" s="4"/>
      <c r="D4" s="6"/>
      <c r="E4" s="16">
        <f>Summary!F5</f>
        <v>246000000</v>
      </c>
      <c r="F4" s="4"/>
      <c r="G4" s="99"/>
      <c r="H4" s="100"/>
      <c r="I4" s="101"/>
    </row>
    <row r="5" spans="1:12" x14ac:dyDescent="0.25">
      <c r="A5" s="3">
        <f>Summary!B6</f>
        <v>3</v>
      </c>
      <c r="B5" s="6" t="str">
        <f>Summary!C6</f>
        <v xml:space="preserve">Interest Rate (%) =  </v>
      </c>
      <c r="C5" s="4"/>
      <c r="D5" s="6"/>
      <c r="E5" s="85">
        <f>Summary!F6</f>
        <v>2.7199999999999998E-2</v>
      </c>
      <c r="F5" s="4"/>
      <c r="G5" s="99"/>
      <c r="H5" s="100"/>
      <c r="I5" s="101"/>
    </row>
    <row r="6" spans="1:12" x14ac:dyDescent="0.25">
      <c r="A6" s="3">
        <f>Summary!B7</f>
        <v>4</v>
      </c>
      <c r="B6" s="6" t="str">
        <f>Summary!C7</f>
        <v>Term (Years) =</v>
      </c>
      <c r="C6" s="4"/>
      <c r="D6" s="6"/>
      <c r="E6" s="16">
        <v>25</v>
      </c>
      <c r="F6" s="4"/>
      <c r="G6" s="99"/>
      <c r="H6" s="100"/>
      <c r="I6" s="101"/>
    </row>
    <row r="7" spans="1:12" x14ac:dyDescent="0.25">
      <c r="A7" s="3">
        <f>Summary!B8</f>
        <v>5</v>
      </c>
      <c r="B7" s="6" t="str">
        <f>Summary!C8</f>
        <v xml:space="preserve">Annualized Capital Cost = </v>
      </c>
      <c r="C7" s="4"/>
      <c r="D7" s="6"/>
      <c r="E7" s="7">
        <f>Summary!F8</f>
        <v>12100768.640900558</v>
      </c>
      <c r="F7" s="4"/>
      <c r="G7" s="99"/>
      <c r="H7" s="100"/>
      <c r="I7" s="101"/>
    </row>
    <row r="8" spans="1:12" x14ac:dyDescent="0.25">
      <c r="A8" s="3">
        <f>Summary!B9</f>
        <v>6</v>
      </c>
      <c r="B8" s="6" t="str">
        <f>Summary!C9</f>
        <v>First year O&amp;M costs ($)=</v>
      </c>
      <c r="C8" s="4"/>
      <c r="D8" s="6"/>
      <c r="E8" s="16">
        <f>Summary!F9</f>
        <v>200000</v>
      </c>
      <c r="F8" s="4"/>
      <c r="G8" s="99"/>
      <c r="H8" s="100"/>
      <c r="I8" s="101"/>
    </row>
    <row r="9" spans="1:12" x14ac:dyDescent="0.25">
      <c r="A9" s="3">
        <f>Summary!B10</f>
        <v>7</v>
      </c>
      <c r="B9" s="6" t="str">
        <f>Summary!C10</f>
        <v xml:space="preserve">Inflation rate for O&amp;M cost projections = </v>
      </c>
      <c r="C9" s="4"/>
      <c r="D9" s="6"/>
      <c r="E9" s="85">
        <f>Summary!F10</f>
        <v>0.03</v>
      </c>
      <c r="F9" s="4"/>
      <c r="G9" s="102"/>
      <c r="H9" s="103"/>
      <c r="I9" s="104"/>
    </row>
    <row r="10" spans="1:12" ht="16.5" thickBot="1" x14ac:dyDescent="0.3">
      <c r="A10" s="17">
        <f>Summary!B11</f>
        <v>8</v>
      </c>
      <c r="B10" s="8" t="str">
        <f>Summary!C11</f>
        <v>Enter First Fiscal Year of Operation</v>
      </c>
      <c r="C10" s="9"/>
      <c r="D10" s="8"/>
      <c r="E10" s="86">
        <f>Summary!F11</f>
        <v>2029</v>
      </c>
      <c r="F10" s="4"/>
      <c r="G10" s="84"/>
      <c r="H10" s="84"/>
      <c r="I10" s="84"/>
    </row>
    <row r="11" spans="1:12" ht="18.75" x14ac:dyDescent="0.3">
      <c r="A11" s="6"/>
      <c r="B11" s="6"/>
      <c r="C11" s="4"/>
      <c r="D11" s="4"/>
      <c r="E11" s="4"/>
      <c r="F11" s="51"/>
      <c r="G11" s="52"/>
      <c r="K11" s="53"/>
      <c r="L11" s="54"/>
    </row>
    <row r="12" spans="1:12" x14ac:dyDescent="0.25">
      <c r="A12" s="105" t="s">
        <v>55</v>
      </c>
      <c r="B12" s="106"/>
      <c r="C12" s="106"/>
      <c r="D12" s="106"/>
      <c r="E12" s="106"/>
      <c r="F12" s="107"/>
      <c r="G12" s="108" t="s">
        <v>56</v>
      </c>
      <c r="H12" s="109"/>
      <c r="I12" s="109"/>
      <c r="J12" s="110" t="s">
        <v>57</v>
      </c>
      <c r="K12" s="111"/>
      <c r="L12" s="112"/>
    </row>
    <row r="13" spans="1:12" s="12" customFormat="1" ht="63" x14ac:dyDescent="0.25">
      <c r="A13" s="27"/>
      <c r="B13" s="27" t="s">
        <v>17</v>
      </c>
      <c r="C13" s="27" t="s">
        <v>40</v>
      </c>
      <c r="D13" s="27" t="s">
        <v>44</v>
      </c>
      <c r="E13" s="27" t="s">
        <v>46</v>
      </c>
      <c r="F13" s="27" t="s">
        <v>47</v>
      </c>
      <c r="G13" s="21" t="s">
        <v>58</v>
      </c>
      <c r="H13" s="21" t="s">
        <v>59</v>
      </c>
      <c r="I13" s="21" t="s">
        <v>56</v>
      </c>
      <c r="J13" s="22" t="s">
        <v>60</v>
      </c>
      <c r="K13" s="22" t="s">
        <v>46</v>
      </c>
      <c r="L13" s="22" t="s">
        <v>47</v>
      </c>
    </row>
    <row r="14" spans="1:12" s="13" customFormat="1" x14ac:dyDescent="0.25">
      <c r="A14" s="29"/>
      <c r="B14" s="30"/>
      <c r="C14" s="29" t="s">
        <v>18</v>
      </c>
      <c r="D14" s="29" t="s">
        <v>26</v>
      </c>
      <c r="E14" s="29" t="s">
        <v>28</v>
      </c>
      <c r="F14" s="29" t="s">
        <v>28</v>
      </c>
      <c r="G14" s="23" t="s">
        <v>28</v>
      </c>
      <c r="H14" s="23" t="s">
        <v>28</v>
      </c>
      <c r="I14" s="23" t="s">
        <v>26</v>
      </c>
      <c r="J14" s="24" t="s">
        <v>26</v>
      </c>
      <c r="K14" s="24" t="s">
        <v>28</v>
      </c>
      <c r="L14" s="24" t="s">
        <v>28</v>
      </c>
    </row>
    <row r="15" spans="1:12" x14ac:dyDescent="0.25">
      <c r="A15" s="49">
        <f>Summary!B15</f>
        <v>0</v>
      </c>
      <c r="B15" s="49">
        <f>Summary!C15</f>
        <v>2024</v>
      </c>
      <c r="C15" s="33">
        <f>Summary!D15</f>
        <v>0</v>
      </c>
      <c r="D15" s="34">
        <f>Summary!E15</f>
        <v>1279</v>
      </c>
      <c r="E15" s="34">
        <f>'$340 over 25 yrs'!I15</f>
        <v>0</v>
      </c>
      <c r="F15" s="34">
        <f>'$340 over 25 yrs'!J15</f>
        <v>0</v>
      </c>
      <c r="G15" s="25">
        <f>IF(OR(A15=0,A15&gt;$E$6),0,1*C15)</f>
        <v>0</v>
      </c>
      <c r="H15" s="25">
        <f>G15/(1.04^(B15-$B$15))</f>
        <v>0</v>
      </c>
      <c r="I15" s="50">
        <f>IF(OR(A15=0,A15&gt;$E$6),0,$F$45/$H$45)</f>
        <v>0</v>
      </c>
      <c r="J15" s="46">
        <f>MIN(ROUND(I15*0.9,0),305)</f>
        <v>0</v>
      </c>
      <c r="K15" s="26">
        <f>J15*C15</f>
        <v>0</v>
      </c>
      <c r="L15" s="26">
        <f>K15/(1.04^(B15-$B$15))</f>
        <v>0</v>
      </c>
    </row>
    <row r="16" spans="1:12" x14ac:dyDescent="0.25">
      <c r="A16" s="49">
        <f>Summary!B16</f>
        <v>0</v>
      </c>
      <c r="B16" s="49">
        <f>Summary!C16</f>
        <v>2025</v>
      </c>
      <c r="C16" s="33">
        <f>Summary!D16</f>
        <v>0</v>
      </c>
      <c r="D16" s="34">
        <f>Summary!E16</f>
        <v>1380</v>
      </c>
      <c r="E16" s="34">
        <f>'$340 over 25 yrs'!I16</f>
        <v>0</v>
      </c>
      <c r="F16" s="34">
        <f>'$340 over 25 yrs'!J16</f>
        <v>0</v>
      </c>
      <c r="G16" s="25">
        <f t="shared" ref="G16:G44" si="0">IF(OR(A16=0,A16&gt;$E$6),0,1*C16)</f>
        <v>0</v>
      </c>
      <c r="H16" s="25">
        <f t="shared" ref="H16:H44" si="1">G16/(1.04^(B16-$B$15))</f>
        <v>0</v>
      </c>
      <c r="I16" s="50">
        <f t="shared" ref="I16:I44" si="2">IF(OR(A16=0,A16&gt;$E$6),0,$F$45/$H$45)</f>
        <v>0</v>
      </c>
      <c r="J16" s="46">
        <f t="shared" ref="J16:J44" si="3">MIN(ROUND(I16*0.9,0),305)</f>
        <v>0</v>
      </c>
      <c r="K16" s="26">
        <f t="shared" ref="K16:K38" si="4">J16*C16</f>
        <v>0</v>
      </c>
      <c r="L16" s="26">
        <f t="shared" ref="L16:L44" si="5">K16/(1.04^(B16-$B$15))</f>
        <v>0</v>
      </c>
    </row>
    <row r="17" spans="1:12" x14ac:dyDescent="0.25">
      <c r="A17" s="49">
        <f>Summary!B17</f>
        <v>0</v>
      </c>
      <c r="B17" s="49">
        <f>Summary!C17</f>
        <v>2026</v>
      </c>
      <c r="C17" s="33">
        <f>Summary!D17</f>
        <v>0</v>
      </c>
      <c r="D17" s="34">
        <f>Summary!E17</f>
        <v>1473</v>
      </c>
      <c r="E17" s="34">
        <f>'$340 over 25 yrs'!I17</f>
        <v>0</v>
      </c>
      <c r="F17" s="34">
        <f>'$340 over 25 yrs'!J17</f>
        <v>0</v>
      </c>
      <c r="G17" s="25">
        <f t="shared" si="0"/>
        <v>0</v>
      </c>
      <c r="H17" s="25">
        <f t="shared" si="1"/>
        <v>0</v>
      </c>
      <c r="I17" s="50">
        <f>IF(OR(A17=0,A17&gt;$E$6),0,$F$45/$H$45)</f>
        <v>0</v>
      </c>
      <c r="J17" s="46">
        <f>MIN(ROUND(I17*0.9,0),305)</f>
        <v>0</v>
      </c>
      <c r="K17" s="26">
        <f>J17*C17</f>
        <v>0</v>
      </c>
      <c r="L17" s="26">
        <f t="shared" si="5"/>
        <v>0</v>
      </c>
    </row>
    <row r="18" spans="1:12" x14ac:dyDescent="0.25">
      <c r="A18" s="49">
        <f>Summary!B18</f>
        <v>0</v>
      </c>
      <c r="B18" s="49">
        <f>Summary!C18</f>
        <v>2027</v>
      </c>
      <c r="C18" s="33">
        <f>Summary!D18</f>
        <v>0</v>
      </c>
      <c r="D18" s="34">
        <f>Summary!E18</f>
        <v>1565</v>
      </c>
      <c r="E18" s="34">
        <f>'$340 over 25 yrs'!I18</f>
        <v>0</v>
      </c>
      <c r="F18" s="34">
        <f>'$340 over 25 yrs'!J18</f>
        <v>0</v>
      </c>
      <c r="G18" s="25">
        <f t="shared" si="0"/>
        <v>0</v>
      </c>
      <c r="H18" s="25">
        <f t="shared" si="1"/>
        <v>0</v>
      </c>
      <c r="I18" s="50">
        <f t="shared" si="2"/>
        <v>0</v>
      </c>
      <c r="J18" s="46">
        <f t="shared" si="3"/>
        <v>0</v>
      </c>
      <c r="K18" s="26">
        <f t="shared" si="4"/>
        <v>0</v>
      </c>
      <c r="L18" s="26">
        <f t="shared" si="5"/>
        <v>0</v>
      </c>
    </row>
    <row r="19" spans="1:12" x14ac:dyDescent="0.25">
      <c r="A19" s="49">
        <f>Summary!B19</f>
        <v>0</v>
      </c>
      <c r="B19" s="49">
        <f>Summary!C19</f>
        <v>2028</v>
      </c>
      <c r="C19" s="33">
        <f>Summary!D19</f>
        <v>0</v>
      </c>
      <c r="D19" s="34">
        <f>Summary!E19</f>
        <v>1648</v>
      </c>
      <c r="E19" s="34">
        <f>'$340 over 25 yrs'!I19</f>
        <v>0</v>
      </c>
      <c r="F19" s="34">
        <f>'$340 over 25 yrs'!J19</f>
        <v>0</v>
      </c>
      <c r="G19" s="25">
        <f t="shared" si="0"/>
        <v>0</v>
      </c>
      <c r="H19" s="25">
        <f t="shared" si="1"/>
        <v>0</v>
      </c>
      <c r="I19" s="50">
        <f t="shared" si="2"/>
        <v>0</v>
      </c>
      <c r="J19" s="46">
        <f t="shared" si="3"/>
        <v>0</v>
      </c>
      <c r="K19" s="26">
        <f t="shared" si="4"/>
        <v>0</v>
      </c>
      <c r="L19" s="26">
        <f t="shared" si="5"/>
        <v>0</v>
      </c>
    </row>
    <row r="20" spans="1:12" x14ac:dyDescent="0.25">
      <c r="A20" s="49">
        <f>Summary!B20</f>
        <v>1</v>
      </c>
      <c r="B20" s="49">
        <f>Summary!C20</f>
        <v>2029</v>
      </c>
      <c r="C20" s="33">
        <f>Summary!D20</f>
        <v>2370</v>
      </c>
      <c r="D20" s="34">
        <f>Summary!E20</f>
        <v>1739</v>
      </c>
      <c r="E20" s="34">
        <f>'$340 over 25 yrs'!I20</f>
        <v>805800</v>
      </c>
      <c r="F20" s="34">
        <f>'$340 over 25 yrs'!J20</f>
        <v>662308.86262668553</v>
      </c>
      <c r="G20" s="25">
        <f t="shared" si="0"/>
        <v>2370</v>
      </c>
      <c r="H20" s="25">
        <f t="shared" si="1"/>
        <v>1947.9672430196631</v>
      </c>
      <c r="I20" s="50">
        <f t="shared" si="2"/>
        <v>340</v>
      </c>
      <c r="J20" s="46">
        <f t="shared" si="3"/>
        <v>305</v>
      </c>
      <c r="K20" s="26">
        <f t="shared" si="4"/>
        <v>722850</v>
      </c>
      <c r="L20" s="26">
        <f t="shared" si="5"/>
        <v>594130.00912099727</v>
      </c>
    </row>
    <row r="21" spans="1:12" x14ac:dyDescent="0.25">
      <c r="A21" s="49">
        <f>Summary!B21</f>
        <v>2</v>
      </c>
      <c r="B21" s="49">
        <f>Summary!C21</f>
        <v>2030</v>
      </c>
      <c r="C21" s="33">
        <f>Summary!D21</f>
        <v>2370</v>
      </c>
      <c r="D21" s="34">
        <f>Summary!E21</f>
        <v>1816</v>
      </c>
      <c r="E21" s="34">
        <f>'$340 over 25 yrs'!I21</f>
        <v>805800</v>
      </c>
      <c r="F21" s="34">
        <f>'$340 over 25 yrs'!J21</f>
        <v>636835.44483335142</v>
      </c>
      <c r="G21" s="25">
        <f t="shared" si="0"/>
        <v>2370</v>
      </c>
      <c r="H21" s="25">
        <f t="shared" si="1"/>
        <v>1873.0454259804453</v>
      </c>
      <c r="I21" s="50">
        <f t="shared" si="2"/>
        <v>340</v>
      </c>
      <c r="J21" s="46">
        <f t="shared" si="3"/>
        <v>305</v>
      </c>
      <c r="K21" s="26">
        <f t="shared" si="4"/>
        <v>722850</v>
      </c>
      <c r="L21" s="26">
        <f t="shared" si="5"/>
        <v>571278.85492403584</v>
      </c>
    </row>
    <row r="22" spans="1:12" x14ac:dyDescent="0.25">
      <c r="A22" s="49">
        <f>Summary!B22</f>
        <v>3</v>
      </c>
      <c r="B22" s="49">
        <f>Summary!C22</f>
        <v>2031</v>
      </c>
      <c r="C22" s="33">
        <f>Summary!D22</f>
        <v>2370</v>
      </c>
      <c r="D22" s="34">
        <f>Summary!E22</f>
        <v>1903</v>
      </c>
      <c r="E22" s="34">
        <f>'$340 over 25 yrs'!I22</f>
        <v>805800</v>
      </c>
      <c r="F22" s="34">
        <f>'$340 over 25 yrs'!J22</f>
        <v>612341.77387822256</v>
      </c>
      <c r="G22" s="25">
        <f t="shared" si="0"/>
        <v>2370</v>
      </c>
      <c r="H22" s="25">
        <f t="shared" si="1"/>
        <v>1801.00521728889</v>
      </c>
      <c r="I22" s="50">
        <f t="shared" si="2"/>
        <v>340</v>
      </c>
      <c r="J22" s="46">
        <f t="shared" si="3"/>
        <v>305</v>
      </c>
      <c r="K22" s="26">
        <f t="shared" si="4"/>
        <v>722850</v>
      </c>
      <c r="L22" s="26">
        <f t="shared" si="5"/>
        <v>549306.59127311141</v>
      </c>
    </row>
    <row r="23" spans="1:12" x14ac:dyDescent="0.25">
      <c r="A23" s="49">
        <f>Summary!B23</f>
        <v>4</v>
      </c>
      <c r="B23" s="49">
        <f>Summary!C23</f>
        <v>2032</v>
      </c>
      <c r="C23" s="33">
        <f>Summary!D23</f>
        <v>2370</v>
      </c>
      <c r="D23" s="34">
        <f>Summary!E23</f>
        <v>1985</v>
      </c>
      <c r="E23" s="34">
        <f>'$340 over 25 yrs'!I23</f>
        <v>805800</v>
      </c>
      <c r="F23" s="34">
        <f>'$340 over 25 yrs'!J23</f>
        <v>588790.16719059856</v>
      </c>
      <c r="G23" s="25">
        <f t="shared" si="0"/>
        <v>2370</v>
      </c>
      <c r="H23" s="25">
        <f t="shared" si="1"/>
        <v>1731.7357858547016</v>
      </c>
      <c r="I23" s="50">
        <f t="shared" si="2"/>
        <v>340</v>
      </c>
      <c r="J23" s="46">
        <f t="shared" si="3"/>
        <v>305</v>
      </c>
      <c r="K23" s="26">
        <f t="shared" si="4"/>
        <v>722850</v>
      </c>
      <c r="L23" s="26">
        <f t="shared" si="5"/>
        <v>528179.41468568402</v>
      </c>
    </row>
    <row r="24" spans="1:12" x14ac:dyDescent="0.25">
      <c r="A24" s="49">
        <f>Summary!B24</f>
        <v>5</v>
      </c>
      <c r="B24" s="49">
        <f>Summary!C24</f>
        <v>2033</v>
      </c>
      <c r="C24" s="33">
        <f>Summary!D24</f>
        <v>2370</v>
      </c>
      <c r="D24" s="34">
        <f>Summary!E24</f>
        <v>2045</v>
      </c>
      <c r="E24" s="34">
        <f>'$340 over 25 yrs'!I24</f>
        <v>805800</v>
      </c>
      <c r="F24" s="34">
        <f>'$340 over 25 yrs'!J24</f>
        <v>566144.39152942155</v>
      </c>
      <c r="G24" s="25">
        <f t="shared" si="0"/>
        <v>2370</v>
      </c>
      <c r="H24" s="25">
        <f t="shared" si="1"/>
        <v>1665.1305633218283</v>
      </c>
      <c r="I24" s="50">
        <f t="shared" si="2"/>
        <v>340</v>
      </c>
      <c r="J24" s="46">
        <f t="shared" si="3"/>
        <v>305</v>
      </c>
      <c r="K24" s="26">
        <f t="shared" si="4"/>
        <v>722850</v>
      </c>
      <c r="L24" s="26">
        <f t="shared" si="5"/>
        <v>507864.82181315764</v>
      </c>
    </row>
    <row r="25" spans="1:12" x14ac:dyDescent="0.25">
      <c r="A25" s="49">
        <f>Summary!B25</f>
        <v>6</v>
      </c>
      <c r="B25" s="49">
        <f>Summary!C25</f>
        <v>2034</v>
      </c>
      <c r="C25" s="33">
        <f>Summary!D25</f>
        <v>2370</v>
      </c>
      <c r="D25" s="34">
        <f>Summary!E25</f>
        <v>2106</v>
      </c>
      <c r="E25" s="34">
        <f>'$340 over 25 yrs'!I25</f>
        <v>805800</v>
      </c>
      <c r="F25" s="34">
        <f>'$340 over 25 yrs'!J25</f>
        <v>544369.60723982845</v>
      </c>
      <c r="G25" s="25">
        <f t="shared" si="0"/>
        <v>2370</v>
      </c>
      <c r="H25" s="25">
        <f t="shared" si="1"/>
        <v>1601.0870801171425</v>
      </c>
      <c r="I25" s="50">
        <f t="shared" si="2"/>
        <v>340</v>
      </c>
      <c r="J25" s="46">
        <f t="shared" si="3"/>
        <v>305</v>
      </c>
      <c r="K25" s="26">
        <f t="shared" si="4"/>
        <v>722850</v>
      </c>
      <c r="L25" s="26">
        <f t="shared" si="5"/>
        <v>488331.55943572847</v>
      </c>
    </row>
    <row r="26" spans="1:12" x14ac:dyDescent="0.25">
      <c r="A26" s="49">
        <f>Summary!B26</f>
        <v>7</v>
      </c>
      <c r="B26" s="49">
        <f>Summary!C26</f>
        <v>2035</v>
      </c>
      <c r="C26" s="33">
        <f>Summary!D26</f>
        <v>2370</v>
      </c>
      <c r="D26" s="34">
        <f>Summary!E26</f>
        <v>2169</v>
      </c>
      <c r="E26" s="34">
        <f>'$340 over 25 yrs'!I26</f>
        <v>805800</v>
      </c>
      <c r="F26" s="34">
        <f>'$340 over 25 yrs'!J26</f>
        <v>523432.31465368124</v>
      </c>
      <c r="G26" s="25">
        <f t="shared" si="0"/>
        <v>2370</v>
      </c>
      <c r="H26" s="25">
        <f t="shared" si="1"/>
        <v>1539.5068078049449</v>
      </c>
      <c r="I26" s="50">
        <f t="shared" si="2"/>
        <v>340</v>
      </c>
      <c r="J26" s="46">
        <f t="shared" si="3"/>
        <v>305</v>
      </c>
      <c r="K26" s="26">
        <f t="shared" si="4"/>
        <v>722850</v>
      </c>
      <c r="L26" s="26">
        <f t="shared" si="5"/>
        <v>469549.5763805082</v>
      </c>
    </row>
    <row r="27" spans="1:12" x14ac:dyDescent="0.25">
      <c r="A27" s="49">
        <f>Summary!B27</f>
        <v>8</v>
      </c>
      <c r="B27" s="49">
        <f>Summary!C27</f>
        <v>2036</v>
      </c>
      <c r="C27" s="33">
        <f>Summary!D27</f>
        <v>2370</v>
      </c>
      <c r="D27" s="34">
        <f>Summary!E27</f>
        <v>2234</v>
      </c>
      <c r="E27" s="34">
        <f>'$340 over 25 yrs'!I27</f>
        <v>805800</v>
      </c>
      <c r="F27" s="34">
        <f>'$340 over 25 yrs'!J27</f>
        <v>503300.30255161651</v>
      </c>
      <c r="G27" s="25">
        <f t="shared" si="0"/>
        <v>2370</v>
      </c>
      <c r="H27" s="25">
        <f t="shared" si="1"/>
        <v>1480.2950075047545</v>
      </c>
      <c r="I27" s="50">
        <f t="shared" si="2"/>
        <v>340</v>
      </c>
      <c r="J27" s="46">
        <f t="shared" si="3"/>
        <v>305</v>
      </c>
      <c r="K27" s="26">
        <f t="shared" si="4"/>
        <v>722850</v>
      </c>
      <c r="L27" s="26">
        <f t="shared" si="5"/>
        <v>451489.97728895006</v>
      </c>
    </row>
    <row r="28" spans="1:12" x14ac:dyDescent="0.25">
      <c r="A28" s="49">
        <f>Summary!B28</f>
        <v>9</v>
      </c>
      <c r="B28" s="49">
        <f>Summary!C28</f>
        <v>2037</v>
      </c>
      <c r="C28" s="33">
        <f>Summary!D28</f>
        <v>2370</v>
      </c>
      <c r="D28" s="34">
        <f>Summary!E28</f>
        <v>2301</v>
      </c>
      <c r="E28" s="34">
        <f>'$340 over 25 yrs'!I28</f>
        <v>805800</v>
      </c>
      <c r="F28" s="34">
        <f>'$340 over 25 yrs'!J28</f>
        <v>483942.59860732354</v>
      </c>
      <c r="G28" s="25">
        <f t="shared" si="0"/>
        <v>2370</v>
      </c>
      <c r="H28" s="25">
        <f t="shared" si="1"/>
        <v>1423.3605841391868</v>
      </c>
      <c r="I28" s="50">
        <f t="shared" si="2"/>
        <v>340</v>
      </c>
      <c r="J28" s="46">
        <f t="shared" si="3"/>
        <v>305</v>
      </c>
      <c r="K28" s="26">
        <f t="shared" si="4"/>
        <v>722850</v>
      </c>
      <c r="L28" s="26">
        <f t="shared" si="5"/>
        <v>434124.978162452</v>
      </c>
    </row>
    <row r="29" spans="1:12" x14ac:dyDescent="0.25">
      <c r="A29" s="49">
        <f>Summary!B29</f>
        <v>10</v>
      </c>
      <c r="B29" s="49">
        <f>Summary!C29</f>
        <v>2038</v>
      </c>
      <c r="C29" s="33">
        <f>Summary!D29</f>
        <v>2370</v>
      </c>
      <c r="D29" s="34">
        <f>Summary!E29</f>
        <v>2370</v>
      </c>
      <c r="E29" s="34">
        <f>'$340 over 25 yrs'!I29</f>
        <v>805800</v>
      </c>
      <c r="F29" s="34">
        <f>'$340 over 25 yrs'!J29</f>
        <v>465329.42173781112</v>
      </c>
      <c r="G29" s="25">
        <f t="shared" si="0"/>
        <v>2370</v>
      </c>
      <c r="H29" s="25">
        <f t="shared" si="1"/>
        <v>1368.6159462876797</v>
      </c>
      <c r="I29" s="50">
        <f t="shared" si="2"/>
        <v>340</v>
      </c>
      <c r="J29" s="46">
        <f t="shared" si="3"/>
        <v>305</v>
      </c>
      <c r="K29" s="26">
        <f t="shared" si="4"/>
        <v>722850</v>
      </c>
      <c r="L29" s="26">
        <f t="shared" si="5"/>
        <v>417427.86361774232</v>
      </c>
    </row>
    <row r="30" spans="1:12" x14ac:dyDescent="0.25">
      <c r="A30" s="49">
        <f>Summary!B30</f>
        <v>11</v>
      </c>
      <c r="B30" s="49">
        <f>Summary!C30</f>
        <v>2039</v>
      </c>
      <c r="C30" s="33">
        <f>Summary!D30</f>
        <v>2370</v>
      </c>
      <c r="D30" s="34">
        <f>Summary!E30</f>
        <v>2441</v>
      </c>
      <c r="E30" s="34">
        <f>'$340 over 25 yrs'!I30</f>
        <v>805800</v>
      </c>
      <c r="F30" s="34">
        <f>'$340 over 25 yrs'!J30</f>
        <v>447432.13628635684</v>
      </c>
      <c r="G30" s="25">
        <f t="shared" si="0"/>
        <v>2370</v>
      </c>
      <c r="H30" s="25">
        <f t="shared" si="1"/>
        <v>1315.9768714304612</v>
      </c>
      <c r="I30" s="50">
        <f t="shared" si="2"/>
        <v>340</v>
      </c>
      <c r="J30" s="46">
        <f t="shared" si="3"/>
        <v>305</v>
      </c>
      <c r="K30" s="26">
        <f t="shared" si="4"/>
        <v>722850</v>
      </c>
      <c r="L30" s="26">
        <f t="shared" si="5"/>
        <v>401372.94578629069</v>
      </c>
    </row>
    <row r="31" spans="1:12" x14ac:dyDescent="0.25">
      <c r="A31" s="49">
        <f>Summary!B31</f>
        <v>12</v>
      </c>
      <c r="B31" s="49">
        <f>Summary!C31</f>
        <v>2040</v>
      </c>
      <c r="C31" s="33">
        <f>Summary!D31</f>
        <v>2370</v>
      </c>
      <c r="D31" s="34">
        <f>Summary!E31</f>
        <v>2514</v>
      </c>
      <c r="E31" s="34">
        <f>'$340 over 25 yrs'!I31</f>
        <v>805800</v>
      </c>
      <c r="F31" s="34">
        <f>'$340 over 25 yrs'!J31</f>
        <v>430223.20796765073</v>
      </c>
      <c r="G31" s="25">
        <f t="shared" si="0"/>
        <v>2370</v>
      </c>
      <c r="H31" s="25">
        <f t="shared" si="1"/>
        <v>1265.3623763754433</v>
      </c>
      <c r="I31" s="50">
        <f t="shared" si="2"/>
        <v>340</v>
      </c>
      <c r="J31" s="46">
        <f t="shared" si="3"/>
        <v>305</v>
      </c>
      <c r="K31" s="26">
        <f t="shared" si="4"/>
        <v>722850</v>
      </c>
      <c r="L31" s="26">
        <f t="shared" si="5"/>
        <v>385935.52479451022</v>
      </c>
    </row>
    <row r="32" spans="1:12" x14ac:dyDescent="0.25">
      <c r="A32" s="49">
        <f>Summary!B32</f>
        <v>13</v>
      </c>
      <c r="B32" s="49">
        <f>Summary!C32</f>
        <v>2041</v>
      </c>
      <c r="C32" s="33">
        <f>Summary!D32</f>
        <v>2370</v>
      </c>
      <c r="D32" s="34">
        <f>Summary!E32</f>
        <v>2589</v>
      </c>
      <c r="E32" s="34">
        <f>'$340 over 25 yrs'!I32</f>
        <v>805800</v>
      </c>
      <c r="F32" s="34">
        <f>'$340 over 25 yrs'!J32</f>
        <v>413676.16150735645</v>
      </c>
      <c r="G32" s="25">
        <f t="shared" si="0"/>
        <v>2370</v>
      </c>
      <c r="H32" s="25">
        <f t="shared" si="1"/>
        <v>1216.6945926686956</v>
      </c>
      <c r="I32" s="50">
        <f t="shared" si="2"/>
        <v>340</v>
      </c>
      <c r="J32" s="46">
        <f t="shared" si="3"/>
        <v>305</v>
      </c>
      <c r="K32" s="26">
        <f t="shared" si="4"/>
        <v>722850</v>
      </c>
      <c r="L32" s="26">
        <f t="shared" si="5"/>
        <v>371091.85076395213</v>
      </c>
    </row>
    <row r="33" spans="1:12" x14ac:dyDescent="0.25">
      <c r="A33" s="49">
        <f>Summary!B33</f>
        <v>14</v>
      </c>
      <c r="B33" s="49">
        <f>Summary!C33</f>
        <v>2042</v>
      </c>
      <c r="C33" s="33">
        <f>Summary!D33</f>
        <v>2370</v>
      </c>
      <c r="D33" s="34">
        <f>Summary!E33</f>
        <v>2667</v>
      </c>
      <c r="E33" s="34">
        <f>'$340 over 25 yrs'!I33</f>
        <v>805800</v>
      </c>
      <c r="F33" s="34">
        <f>'$340 over 25 yrs'!J33</f>
        <v>397765.53991091962</v>
      </c>
      <c r="G33" s="25">
        <f t="shared" si="0"/>
        <v>2370</v>
      </c>
      <c r="H33" s="25">
        <f t="shared" si="1"/>
        <v>1169.8986467968225</v>
      </c>
      <c r="I33" s="50">
        <f t="shared" si="2"/>
        <v>340</v>
      </c>
      <c r="J33" s="46">
        <f t="shared" si="3"/>
        <v>305</v>
      </c>
      <c r="K33" s="26">
        <f t="shared" si="4"/>
        <v>722850</v>
      </c>
      <c r="L33" s="26">
        <f t="shared" si="5"/>
        <v>356819.08727303083</v>
      </c>
    </row>
    <row r="34" spans="1:12" x14ac:dyDescent="0.25">
      <c r="A34" s="49">
        <f>Summary!B34</f>
        <v>15</v>
      </c>
      <c r="B34" s="49">
        <f>Summary!C34</f>
        <v>2043</v>
      </c>
      <c r="C34" s="33">
        <f>Summary!D34</f>
        <v>2370</v>
      </c>
      <c r="D34" s="34">
        <f>Summary!E34</f>
        <v>2747</v>
      </c>
      <c r="E34" s="34">
        <f>'$340 over 25 yrs'!I34</f>
        <v>805800</v>
      </c>
      <c r="F34" s="34">
        <f>'$340 over 25 yrs'!J34</f>
        <v>382466.86529896117</v>
      </c>
      <c r="G34" s="25">
        <f t="shared" si="0"/>
        <v>2370</v>
      </c>
      <c r="H34" s="25">
        <f t="shared" si="1"/>
        <v>1124.9025449969447</v>
      </c>
      <c r="I34" s="50">
        <f t="shared" si="2"/>
        <v>340</v>
      </c>
      <c r="J34" s="46">
        <f t="shared" si="3"/>
        <v>305</v>
      </c>
      <c r="K34" s="26">
        <f t="shared" si="4"/>
        <v>722850</v>
      </c>
      <c r="L34" s="26">
        <f t="shared" si="5"/>
        <v>343095.27622406813</v>
      </c>
    </row>
    <row r="35" spans="1:12" x14ac:dyDescent="0.25">
      <c r="A35" s="49">
        <f>Summary!B35</f>
        <v>16</v>
      </c>
      <c r="B35" s="49">
        <f>Summary!C35</f>
        <v>2044</v>
      </c>
      <c r="C35" s="33">
        <f>Summary!D35</f>
        <v>2370</v>
      </c>
      <c r="D35" s="34">
        <f>Summary!E35</f>
        <v>2829</v>
      </c>
      <c r="E35" s="34">
        <f>'$340 over 25 yrs'!I35</f>
        <v>805800</v>
      </c>
      <c r="F35" s="34">
        <f>'$340 over 25 yrs'!J35</f>
        <v>367756.60124900116</v>
      </c>
      <c r="G35" s="25">
        <f t="shared" si="0"/>
        <v>2370</v>
      </c>
      <c r="H35" s="25">
        <f t="shared" si="1"/>
        <v>1081.6370624970623</v>
      </c>
      <c r="I35" s="50">
        <f t="shared" si="2"/>
        <v>340</v>
      </c>
      <c r="J35" s="46">
        <f t="shared" si="3"/>
        <v>305</v>
      </c>
      <c r="K35" s="26">
        <f t="shared" si="4"/>
        <v>722850</v>
      </c>
      <c r="L35" s="26">
        <f t="shared" si="5"/>
        <v>329899.30406160397</v>
      </c>
    </row>
    <row r="36" spans="1:12" x14ac:dyDescent="0.25">
      <c r="A36" s="49">
        <f>Summary!B36</f>
        <v>17</v>
      </c>
      <c r="B36" s="49">
        <f>Summary!C36</f>
        <v>2045</v>
      </c>
      <c r="C36" s="33">
        <f>Summary!D36</f>
        <v>2370</v>
      </c>
      <c r="D36" s="34">
        <f>Summary!E36</f>
        <v>2914</v>
      </c>
      <c r="E36" s="34">
        <f>'$340 over 25 yrs'!I36</f>
        <v>805800</v>
      </c>
      <c r="F36" s="34">
        <f>'$340 over 25 yrs'!J36</f>
        <v>353612.11658557795</v>
      </c>
      <c r="G36" s="25">
        <f t="shared" si="0"/>
        <v>2370</v>
      </c>
      <c r="H36" s="25">
        <f t="shared" si="1"/>
        <v>1040.0356370164056</v>
      </c>
      <c r="I36" s="50">
        <f t="shared" si="2"/>
        <v>340</v>
      </c>
      <c r="J36" s="46">
        <f t="shared" si="3"/>
        <v>305</v>
      </c>
      <c r="K36" s="26">
        <f t="shared" si="4"/>
        <v>722850</v>
      </c>
      <c r="L36" s="26">
        <f t="shared" si="5"/>
        <v>317210.86929000373</v>
      </c>
    </row>
    <row r="37" spans="1:12" x14ac:dyDescent="0.25">
      <c r="A37" s="49">
        <f>Summary!B37</f>
        <v>18</v>
      </c>
      <c r="B37" s="49">
        <f>Summary!C37</f>
        <v>2046</v>
      </c>
      <c r="C37" s="33">
        <f>Summary!D37</f>
        <v>2370</v>
      </c>
      <c r="D37" s="34">
        <f>Summary!E37</f>
        <v>3001</v>
      </c>
      <c r="E37" s="34">
        <f>'$340 over 25 yrs'!I37</f>
        <v>805800</v>
      </c>
      <c r="F37" s="34">
        <f>'$340 over 25 yrs'!J37</f>
        <v>340011.65056305571</v>
      </c>
      <c r="G37" s="25">
        <f t="shared" si="0"/>
        <v>2370</v>
      </c>
      <c r="H37" s="25">
        <f t="shared" si="1"/>
        <v>1000.0342663619286</v>
      </c>
      <c r="I37" s="50">
        <f t="shared" si="2"/>
        <v>340</v>
      </c>
      <c r="J37" s="46">
        <f t="shared" si="3"/>
        <v>305</v>
      </c>
      <c r="K37" s="26">
        <f t="shared" si="4"/>
        <v>722850</v>
      </c>
      <c r="L37" s="26">
        <f t="shared" si="5"/>
        <v>305010.45124038821</v>
      </c>
    </row>
    <row r="38" spans="1:12" x14ac:dyDescent="0.25">
      <c r="A38" s="49">
        <f>Summary!B38</f>
        <v>19</v>
      </c>
      <c r="B38" s="49">
        <f>Summary!C38</f>
        <v>2047</v>
      </c>
      <c r="C38" s="33">
        <f>Summary!D38</f>
        <v>2370</v>
      </c>
      <c r="D38" s="34">
        <f>Summary!E38</f>
        <v>3091</v>
      </c>
      <c r="E38" s="34">
        <f>'$340 over 25 yrs'!I38</f>
        <v>805800</v>
      </c>
      <c r="F38" s="34">
        <f>'$340 over 25 yrs'!J38</f>
        <v>326934.27938755363</v>
      </c>
      <c r="G38" s="25">
        <f t="shared" si="0"/>
        <v>2370</v>
      </c>
      <c r="H38" s="25">
        <f t="shared" si="1"/>
        <v>961.57140996339297</v>
      </c>
      <c r="I38" s="50">
        <f t="shared" si="2"/>
        <v>340</v>
      </c>
      <c r="J38" s="46">
        <f t="shared" si="3"/>
        <v>305</v>
      </c>
      <c r="K38" s="26">
        <f t="shared" si="4"/>
        <v>722850</v>
      </c>
      <c r="L38" s="26">
        <f t="shared" si="5"/>
        <v>293279.28003883484</v>
      </c>
    </row>
    <row r="39" spans="1:12" x14ac:dyDescent="0.25">
      <c r="A39" s="49">
        <f>Summary!B39</f>
        <v>20</v>
      </c>
      <c r="B39" s="49">
        <f>Summary!C39</f>
        <v>2048</v>
      </c>
      <c r="C39" s="33">
        <f>Summary!D39</f>
        <v>2370</v>
      </c>
      <c r="D39" s="34">
        <f>Summary!E39</f>
        <v>3184</v>
      </c>
      <c r="E39" s="34">
        <f>'$340 over 25 yrs'!I39</f>
        <v>805800</v>
      </c>
      <c r="F39" s="34">
        <f>'$340 over 25 yrs'!J39</f>
        <v>314359.88402649382</v>
      </c>
      <c r="G39" s="25">
        <f t="shared" si="0"/>
        <v>2370</v>
      </c>
      <c r="H39" s="25">
        <f t="shared" si="1"/>
        <v>924.58789419557013</v>
      </c>
      <c r="I39" s="50">
        <f t="shared" si="2"/>
        <v>340</v>
      </c>
      <c r="J39" s="46">
        <f t="shared" si="3"/>
        <v>305</v>
      </c>
      <c r="K39" s="26">
        <f t="shared" ref="K39:K40" si="6">J39*C39</f>
        <v>722850</v>
      </c>
      <c r="L39" s="26">
        <f t="shared" si="5"/>
        <v>281999.30772964889</v>
      </c>
    </row>
    <row r="40" spans="1:12" x14ac:dyDescent="0.25">
      <c r="A40" s="49">
        <f>Summary!B40</f>
        <v>21</v>
      </c>
      <c r="B40" s="49">
        <f>Summary!C40</f>
        <v>2049</v>
      </c>
      <c r="C40" s="33">
        <f>Summary!D40</f>
        <v>2370</v>
      </c>
      <c r="D40" s="34">
        <f>Summary!E40</f>
        <v>3279.52</v>
      </c>
      <c r="E40" s="34">
        <f>'$340 over 25 yrs'!I40</f>
        <v>805800</v>
      </c>
      <c r="F40" s="34">
        <f>'$340 over 25 yrs'!J40</f>
        <v>302269.11925624398</v>
      </c>
      <c r="G40" s="25">
        <f t="shared" si="0"/>
        <v>2370</v>
      </c>
      <c r="H40" s="25">
        <f t="shared" si="1"/>
        <v>889.02682134189411</v>
      </c>
      <c r="I40" s="50">
        <f t="shared" si="2"/>
        <v>340</v>
      </c>
      <c r="J40" s="46">
        <f t="shared" si="3"/>
        <v>305</v>
      </c>
      <c r="K40" s="26">
        <f t="shared" si="6"/>
        <v>722850</v>
      </c>
      <c r="L40" s="26">
        <f t="shared" si="5"/>
        <v>271153.18050927774</v>
      </c>
    </row>
    <row r="41" spans="1:12" x14ac:dyDescent="0.25">
      <c r="A41" s="49">
        <f>Summary!B41</f>
        <v>22</v>
      </c>
      <c r="B41" s="49">
        <f>Summary!C41</f>
        <v>2050</v>
      </c>
      <c r="C41" s="33">
        <f>Summary!D41</f>
        <v>2370</v>
      </c>
      <c r="D41" s="34">
        <f>Summary!E41</f>
        <v>3377.9056</v>
      </c>
      <c r="E41" s="34">
        <f>'$340 over 25 yrs'!I41</f>
        <v>805800</v>
      </c>
      <c r="F41" s="34">
        <f>'$340 over 25 yrs'!J41</f>
        <v>290643.38390023465</v>
      </c>
      <c r="G41" s="25">
        <f t="shared" si="0"/>
        <v>2370</v>
      </c>
      <c r="H41" s="25">
        <f t="shared" si="1"/>
        <v>854.8334820595137</v>
      </c>
      <c r="I41" s="50">
        <f t="shared" si="2"/>
        <v>340</v>
      </c>
      <c r="J41" s="46">
        <f t="shared" si="3"/>
        <v>305</v>
      </c>
      <c r="K41" s="26">
        <f t="shared" ref="K41:K44" si="7">J41*C41</f>
        <v>722850</v>
      </c>
      <c r="L41" s="26">
        <f t="shared" si="5"/>
        <v>260724.21202815167</v>
      </c>
    </row>
    <row r="42" spans="1:12" x14ac:dyDescent="0.25">
      <c r="A42" s="49">
        <f>Summary!B42</f>
        <v>23</v>
      </c>
      <c r="B42" s="49">
        <f>Summary!C42</f>
        <v>2051</v>
      </c>
      <c r="C42" s="33">
        <f>Summary!D42</f>
        <v>2370</v>
      </c>
      <c r="D42" s="34">
        <f>Summary!E42</f>
        <v>3479.2427680000001</v>
      </c>
      <c r="E42" s="34">
        <f>'$340 over 25 yrs'!I42</f>
        <v>805800</v>
      </c>
      <c r="F42" s="34">
        <f>'$340 over 25 yrs'!J42</f>
        <v>279464.79221176408</v>
      </c>
      <c r="G42" s="25">
        <f t="shared" si="0"/>
        <v>2370</v>
      </c>
      <c r="H42" s="25">
        <f t="shared" si="1"/>
        <v>821.95527121107079</v>
      </c>
      <c r="I42" s="50">
        <f t="shared" si="2"/>
        <v>340</v>
      </c>
      <c r="J42" s="46">
        <f t="shared" si="3"/>
        <v>305</v>
      </c>
      <c r="K42" s="26">
        <f t="shared" si="7"/>
        <v>722850</v>
      </c>
      <c r="L42" s="26">
        <f t="shared" si="5"/>
        <v>250696.3577193766</v>
      </c>
    </row>
    <row r="43" spans="1:12" x14ac:dyDescent="0.25">
      <c r="A43" s="49">
        <f>Summary!B43</f>
        <v>24</v>
      </c>
      <c r="B43" s="49">
        <f>Summary!C43</f>
        <v>2052</v>
      </c>
      <c r="C43" s="33">
        <f>Summary!D43</f>
        <v>2370</v>
      </c>
      <c r="D43" s="34">
        <f>Summary!E43</f>
        <v>3583.6200510400004</v>
      </c>
      <c r="E43" s="34">
        <f>'$340 over 25 yrs'!I43</f>
        <v>805800</v>
      </c>
      <c r="F43" s="34">
        <f>'$340 over 25 yrs'!J43</f>
        <v>268716.14635746542</v>
      </c>
      <c r="G43" s="25">
        <f t="shared" si="0"/>
        <v>2370</v>
      </c>
      <c r="H43" s="25">
        <f t="shared" si="1"/>
        <v>790.34160693372178</v>
      </c>
      <c r="I43" s="50">
        <f t="shared" si="2"/>
        <v>340</v>
      </c>
      <c r="J43" s="46">
        <f t="shared" si="3"/>
        <v>305</v>
      </c>
      <c r="K43" s="26">
        <f t="shared" si="7"/>
        <v>722850</v>
      </c>
      <c r="L43" s="26">
        <f t="shared" si="5"/>
        <v>241054.19011478513</v>
      </c>
    </row>
    <row r="44" spans="1:12" x14ac:dyDescent="0.25">
      <c r="A44" s="49">
        <f>Summary!B44</f>
        <v>25</v>
      </c>
      <c r="B44" s="49">
        <f>Summary!C44</f>
        <v>2053</v>
      </c>
      <c r="C44" s="33">
        <f>Summary!D44</f>
        <v>2370</v>
      </c>
      <c r="D44" s="34">
        <f>Summary!E44</f>
        <v>3691.1286525712003</v>
      </c>
      <c r="E44" s="34">
        <f>'$340 over 25 yrs'!I44</f>
        <v>805800</v>
      </c>
      <c r="F44" s="34">
        <f>'$340 over 25 yrs'!J44</f>
        <v>258380.90995910135</v>
      </c>
      <c r="G44" s="25">
        <f t="shared" si="0"/>
        <v>2370</v>
      </c>
      <c r="H44" s="25">
        <f t="shared" si="1"/>
        <v>759.94385282088626</v>
      </c>
      <c r="I44" s="50">
        <f t="shared" si="2"/>
        <v>340</v>
      </c>
      <c r="J44" s="46">
        <f t="shared" si="3"/>
        <v>305</v>
      </c>
      <c r="K44" s="26">
        <f t="shared" si="7"/>
        <v>722850</v>
      </c>
      <c r="L44" s="26">
        <f t="shared" si="5"/>
        <v>231782.87511037031</v>
      </c>
    </row>
    <row r="45" spans="1:12" x14ac:dyDescent="0.25">
      <c r="A45" s="36"/>
      <c r="C45" s="83">
        <f>SUMIFS($C$15:$C$43,$B$15:$B$43,"&gt;="&amp;$E$10,$B$15:$B$43,"&lt;"&amp;($E$10+$E$6))</f>
        <v>56880</v>
      </c>
      <c r="D45" s="79"/>
      <c r="E45" s="79">
        <f>SUMIFS($E$15:$E$44,$B$15:$B$44,"&gt;="&amp;$E$10,$B$15:$B$44,"&lt;"&amp;($E$10+$E$6))</f>
        <v>20145000</v>
      </c>
      <c r="F45" s="79">
        <f>SUMIFS($F$15:$F$44,$B$15:$B$44,"&gt;="&amp;$E$10,$B$15:$B$44,"&lt;"&amp;($E$10+$E$6))</f>
        <v>10760507.679316279</v>
      </c>
      <c r="G45" s="79">
        <f>SUMIFS($G$15:$G$44,$B$15:$B$44,"&gt;="&amp;$E$10,$B$15:$B$44,"&lt;"&amp;($E$10+$E$6))</f>
        <v>59250</v>
      </c>
      <c r="H45" s="79">
        <f>SUMIFS($H$15:$H$44,$B$15:$B$44,"&gt;="&amp;$E$10,$B$15:$B$44,"&lt;"&amp;($E$10+$E$6))</f>
        <v>31648.551997989052</v>
      </c>
      <c r="I45" s="79"/>
      <c r="J45" s="79"/>
      <c r="K45" s="79">
        <f>SUMIFS($K$15:$K$44,$B$15:$B$44,"&gt;="&amp;$E$10,$B$15:$B$44,"&lt;"&amp;($E$10+$E$6))</f>
        <v>18071250</v>
      </c>
      <c r="L45" s="79">
        <f>SUMIFS($L$15:$L$44,$B$15:$B$44,"&gt;="&amp;$E$10,$B$15:$B$44,"&lt;"&amp;($E$10+$E$6))</f>
        <v>9652808.359386662</v>
      </c>
    </row>
  </sheetData>
  <mergeCells count="4">
    <mergeCell ref="A12:F12"/>
    <mergeCell ref="G12:I12"/>
    <mergeCell ref="J12:L12"/>
    <mergeCell ref="G3:I9"/>
  </mergeCells>
  <printOptions horizontalCentered="1" verticalCentered="1"/>
  <pageMargins left="0.45" right="0.45" top="0.5" bottom="0.5" header="0.3" footer="0.3"/>
  <pageSetup scale="72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d53efe05-7ca3-4f59-bb51-1ce2c267f6cb" xsi:nil="true"/>
    <TaxCatchAll xmlns="ff13c40f-f349-4185-8cb5-d1fc6dcfeeda" xsi:nil="true"/>
    <lcf76f155ced4ddcb4097134ff3c332f xmlns="d53efe05-7ca3-4f59-bb51-1ce2c267f6cb">
      <Terms xmlns="http://schemas.microsoft.com/office/infopath/2007/PartnerControls"/>
    </lcf76f155ced4ddcb4097134ff3c332f>
    <SharedWithUsers xmlns="ff13c40f-f349-4185-8cb5-d1fc6dcfeeda">
      <UserInfo>
        <DisplayName>Lagman,Jewls C</DisplayName>
        <AccountId>1476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8354ED7538C745B530A5AF46999E30" ma:contentTypeVersion="15" ma:contentTypeDescription="Create a new document." ma:contentTypeScope="" ma:versionID="3e30c9b62fabf36570f768d87a3273de">
  <xsd:schema xmlns:xsd="http://www.w3.org/2001/XMLSchema" xmlns:xs="http://www.w3.org/2001/XMLSchema" xmlns:p="http://schemas.microsoft.com/office/2006/metadata/properties" xmlns:ns2="d53efe05-7ca3-4f59-bb51-1ce2c267f6cb" xmlns:ns3="ff13c40f-f349-4185-8cb5-d1fc6dcfeeda" targetNamespace="http://schemas.microsoft.com/office/2006/metadata/properties" ma:root="true" ma:fieldsID="141111fc32432b68cca65eff25398dcd" ns2:_="" ns3:_="">
    <xsd:import namespace="d53efe05-7ca3-4f59-bb51-1ce2c267f6cb"/>
    <xsd:import namespace="ff13c40f-f349-4185-8cb5-d1fc6dcfee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Statu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3efe05-7ca3-4f59-bb51-1ce2c267f6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Status" ma:index="18" nillable="true" ma:displayName="Status" ma:format="Dropdown" ma:internalName="Status">
      <xsd:simpleType>
        <xsd:restriction base="dms:Text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eb27227b-d667-4c83-ba76-d96087e2cf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13c40f-f349-4185-8cb5-d1fc6dcfeed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a18b65da-d1f3-4c74-9b66-8f73dc96e3ef}" ma:internalName="TaxCatchAll" ma:showField="CatchAllData" ma:web="ff13c40f-f349-4185-8cb5-d1fc6dcfee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E0C75C-3976-417A-910C-67B5C1B430E9}">
  <ds:schemaRefs>
    <ds:schemaRef ds:uri="http://purl.org/dc/elements/1.1/"/>
    <ds:schemaRef ds:uri="http://schemas.microsoft.com/office/2006/metadata/properties"/>
    <ds:schemaRef ds:uri="ff13c40f-f349-4185-8cb5-d1fc6dcfeeda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d53efe05-7ca3-4f59-bb51-1ce2c267f6c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C206A99-CD4E-411E-BB02-13EDEEB0B3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3efe05-7ca3-4f59-bb51-1ce2c267f6cb"/>
    <ds:schemaRef ds:uri="ff13c40f-f349-4185-8cb5-d1fc6dcfee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AC663F-F333-4FCA-8C12-BF12957D7D8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fb019bc-e035-4196-9563-f1a1a400c820}" enabled="0" method="" siteId="{2fb019bc-e035-4196-9563-f1a1a400c82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$340 over 25 yrs</vt:lpstr>
      <vt:lpstr>$475 over 15 yrs</vt:lpstr>
      <vt:lpstr>$305 fix over 25 yrs</vt:lpstr>
    </vt:vector>
  </TitlesOfParts>
  <Manager/>
  <Company>MWD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u05294</dc:creator>
  <cp:keywords/>
  <dc:description/>
  <cp:lastModifiedBy>Mark Tettemer</cp:lastModifiedBy>
  <cp:revision/>
  <cp:lastPrinted>2024-03-21T22:13:55Z</cp:lastPrinted>
  <dcterms:created xsi:type="dcterms:W3CDTF">2014-07-02T00:08:23Z</dcterms:created>
  <dcterms:modified xsi:type="dcterms:W3CDTF">2024-03-21T22:19:11Z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01BB-2CD5-5770-453F</vt:lpwstr>
  </property>
  <property fmtid="{D5CDD505-2E9C-101B-9397-08002B2CF9AE}" pid="3" name="ContentTypeId">
    <vt:lpwstr>0x0101006E8354ED7538C745B530A5AF46999E30</vt:lpwstr>
  </property>
  <property fmtid="{D5CDD505-2E9C-101B-9397-08002B2CF9AE}" pid="4" name="MediaServiceImageTags">
    <vt:lpwstr/>
  </property>
</Properties>
</file>